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fw-my.sharepoint.com/personal/nicholas_vanvleet_wildlife_ca_gov1/Documents/Desktop/Trinity River/Monitoring/TRP Trapping Summaries/"/>
    </mc:Choice>
  </mc:AlternateContent>
  <xr:revisionPtr revIDLastSave="2547" documentId="8_{8E4C1324-6FDF-4BC0-9F88-5F502803B31C}" xr6:coauthVersionLast="47" xr6:coauthVersionMax="47" xr10:uidLastSave="{810CDE47-E5AB-4299-95F4-D9A4028A32EF}"/>
  <bookViews>
    <workbookView xWindow="28680" yWindow="-120" windowWidth="29040" windowHeight="15720" activeTab="3" xr2:uid="{10921E30-E0D6-4206-B992-A32E9F283A34}"/>
  </bookViews>
  <sheets>
    <sheet name="INFO page" sheetId="1" r:id="rId1"/>
    <sheet name="JC Weir-2025" sheetId="8" r:id="rId2"/>
    <sheet name="WC Weir-2025" sheetId="9" r:id="rId3"/>
    <sheet name="TRH-2025" sheetId="13" r:id="rId4"/>
    <sheet name="Historical -JCW" sheetId="10" r:id="rId5"/>
    <sheet name="Historical -WCW" sheetId="11" r:id="rId6"/>
    <sheet name="Historical-TRH" sheetId="12" r:id="rId7"/>
  </sheets>
  <definedNames>
    <definedName name="_xlnm.Print_Area" localSheetId="4">'Historical -JCW'!$A$1:$BF$24</definedName>
    <definedName name="_xlnm.Print_Area" localSheetId="5">'Historical -WCW'!$A$1:$BK$41</definedName>
    <definedName name="_xlnm.Print_Area" localSheetId="6">'Historical-TRH'!$A$1:$BG$38</definedName>
    <definedName name="_xlnm.Print_Area" localSheetId="0">'INFO page'!$A$1:$O$35</definedName>
    <definedName name="_xlnm.Print_Area" localSheetId="3">'TRH-2025'!$A$1:$Y$53</definedName>
    <definedName name="_xlnm.Print_Area" localSheetId="2">'WC Weir-2025'!$A$1:$AG$35</definedName>
    <definedName name="_xlnm.Print_Titles" localSheetId="4">'Historical -JCW'!$A:$E,'Historical -JCW'!$1:$2</definedName>
    <definedName name="_xlnm.Print_Titles" localSheetId="5">'Historical -WCW'!$A:$D,'Historical -WCW'!$1:$1</definedName>
    <definedName name="_xlnm.Print_Titles" localSheetId="6">'Historical-TRH'!$A:$D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4" i="13" l="1"/>
  <c r="AD34" i="13"/>
  <c r="Z34" i="13"/>
  <c r="AD33" i="13"/>
  <c r="Z33" i="13"/>
  <c r="R34" i="13"/>
  <c r="S34" i="13"/>
  <c r="S33" i="13"/>
  <c r="AC33" i="13"/>
  <c r="R33" i="13"/>
  <c r="K34" i="13"/>
  <c r="AB34" i="13"/>
  <c r="L34" i="13"/>
  <c r="L33" i="13"/>
  <c r="AB33" i="13"/>
  <c r="K33" i="13"/>
  <c r="C33" i="13"/>
  <c r="E33" i="13"/>
  <c r="C34" i="13"/>
  <c r="E34" i="13" s="1"/>
  <c r="AD32" i="13"/>
  <c r="AD31" i="13"/>
  <c r="R32" i="13"/>
  <c r="S32" i="13"/>
  <c r="AC32" i="13" s="1"/>
  <c r="S31" i="13"/>
  <c r="R31" i="13"/>
  <c r="K32" i="13"/>
  <c r="L32" i="13"/>
  <c r="L31" i="13"/>
  <c r="K31" i="13"/>
  <c r="Z31" i="13" s="1"/>
  <c r="AD30" i="13"/>
  <c r="AD29" i="13"/>
  <c r="S29" i="13"/>
  <c r="S30" i="13"/>
  <c r="R29" i="13"/>
  <c r="R30" i="13"/>
  <c r="Z30" i="13" s="1"/>
  <c r="L29" i="13"/>
  <c r="L30" i="13"/>
  <c r="K29" i="13"/>
  <c r="K30" i="13"/>
  <c r="AD28" i="13"/>
  <c r="AD27" i="13"/>
  <c r="R28" i="13"/>
  <c r="S28" i="13"/>
  <c r="S27" i="13"/>
  <c r="R27" i="13"/>
  <c r="K28" i="13"/>
  <c r="L28" i="13"/>
  <c r="L27" i="13"/>
  <c r="K27" i="13"/>
  <c r="AD26" i="13"/>
  <c r="AD25" i="13"/>
  <c r="S26" i="13"/>
  <c r="R26" i="13"/>
  <c r="R25" i="13"/>
  <c r="S25" i="13"/>
  <c r="L26" i="13"/>
  <c r="K26" i="13"/>
  <c r="K25" i="13"/>
  <c r="L25" i="13"/>
  <c r="AB25" i="13" s="1"/>
  <c r="C26" i="13"/>
  <c r="E26" i="13" s="1"/>
  <c r="E25" i="13"/>
  <c r="I36" i="13"/>
  <c r="G36" i="13"/>
  <c r="AD21" i="13"/>
  <c r="AD22" i="13"/>
  <c r="AD23" i="13"/>
  <c r="AD24" i="13"/>
  <c r="R21" i="13"/>
  <c r="S21" i="13"/>
  <c r="R22" i="13"/>
  <c r="S22" i="13"/>
  <c r="R23" i="13"/>
  <c r="S23" i="13"/>
  <c r="R24" i="13"/>
  <c r="S24" i="13"/>
  <c r="K21" i="13"/>
  <c r="L21" i="13"/>
  <c r="K22" i="13"/>
  <c r="L22" i="13"/>
  <c r="K23" i="13"/>
  <c r="L23" i="13"/>
  <c r="K24" i="13"/>
  <c r="L24" i="13"/>
  <c r="AD20" i="13"/>
  <c r="R20" i="13"/>
  <c r="S20" i="13"/>
  <c r="K20" i="13"/>
  <c r="L20" i="13"/>
  <c r="AB33" i="8"/>
  <c r="AM33" i="8" s="1"/>
  <c r="AA33" i="8"/>
  <c r="AH33" i="8"/>
  <c r="AN33" i="8" s="1"/>
  <c r="M33" i="8"/>
  <c r="AK33" i="8" s="1"/>
  <c r="N33" i="8"/>
  <c r="U33" i="8"/>
  <c r="AL33" i="8" s="1"/>
  <c r="T33" i="8"/>
  <c r="AF33" i="8"/>
  <c r="M32" i="8"/>
  <c r="AK32" i="8" s="1"/>
  <c r="AH32" i="8"/>
  <c r="AN32" i="8" s="1"/>
  <c r="N32" i="8"/>
  <c r="T32" i="8"/>
  <c r="AL32" i="8" s="1"/>
  <c r="U32" i="8"/>
  <c r="AB32" i="8"/>
  <c r="AM32" i="8" s="1"/>
  <c r="AA32" i="8"/>
  <c r="AF32" i="8"/>
  <c r="C32" i="8"/>
  <c r="C33" i="8" s="1"/>
  <c r="E33" i="8" s="1"/>
  <c r="E32" i="8"/>
  <c r="AD19" i="13"/>
  <c r="S19" i="13"/>
  <c r="R19" i="13"/>
  <c r="L19" i="13"/>
  <c r="K19" i="13"/>
  <c r="AD18" i="13"/>
  <c r="R18" i="13"/>
  <c r="S18" i="13"/>
  <c r="K18" i="13"/>
  <c r="L18" i="13"/>
  <c r="K17" i="13"/>
  <c r="L17" i="13"/>
  <c r="AD17" i="13"/>
  <c r="R17" i="13"/>
  <c r="S17" i="13"/>
  <c r="AF31" i="8"/>
  <c r="AH31" i="8" s="1"/>
  <c r="AN31" i="8" s="1"/>
  <c r="M31" i="8"/>
  <c r="AK31" i="8" s="1"/>
  <c r="N31" i="8"/>
  <c r="T31" i="8"/>
  <c r="AL31" i="8" s="1"/>
  <c r="U31" i="8"/>
  <c r="U30" i="8"/>
  <c r="AL30" i="8" s="1"/>
  <c r="T30" i="8"/>
  <c r="AH30" i="8" s="1"/>
  <c r="AN30" i="8" s="1"/>
  <c r="AB31" i="8"/>
  <c r="AM31" i="8"/>
  <c r="AA31" i="8"/>
  <c r="AB30" i="8"/>
  <c r="AM30" i="8" s="1"/>
  <c r="AA30" i="8"/>
  <c r="N30" i="8"/>
  <c r="AK30" i="8" s="1"/>
  <c r="M30" i="8"/>
  <c r="AF30" i="8"/>
  <c r="C30" i="8"/>
  <c r="E30" i="8" s="1"/>
  <c r="AD16" i="13"/>
  <c r="R16" i="13"/>
  <c r="S16" i="13"/>
  <c r="K16" i="13"/>
  <c r="L16" i="13"/>
  <c r="AB29" i="8"/>
  <c r="AA29" i="8"/>
  <c r="AH29" i="8" s="1"/>
  <c r="AN29" i="8" s="1"/>
  <c r="N29" i="8"/>
  <c r="AK29" i="8" s="1"/>
  <c r="M29" i="8"/>
  <c r="AF29" i="8"/>
  <c r="U29" i="8"/>
  <c r="AL29" i="8" s="1"/>
  <c r="T29" i="8"/>
  <c r="AB28" i="8"/>
  <c r="AM28" i="8" s="1"/>
  <c r="AA28" i="8"/>
  <c r="AH28" i="8" s="1"/>
  <c r="AN28" i="8" s="1"/>
  <c r="U28" i="8"/>
  <c r="AL28" i="8" s="1"/>
  <c r="T28" i="8"/>
  <c r="N28" i="8"/>
  <c r="AK28" i="8"/>
  <c r="M28" i="8"/>
  <c r="AF28" i="8"/>
  <c r="C28" i="8"/>
  <c r="E28" i="8"/>
  <c r="C29" i="8"/>
  <c r="E29" i="8"/>
  <c r="AD15" i="13"/>
  <c r="Z12" i="13"/>
  <c r="X37" i="13"/>
  <c r="W37" i="13"/>
  <c r="S15" i="13"/>
  <c r="R15" i="13"/>
  <c r="L15" i="13"/>
  <c r="K15" i="13"/>
  <c r="AD11" i="13"/>
  <c r="S11" i="13"/>
  <c r="R11" i="13"/>
  <c r="L11" i="13"/>
  <c r="K11" i="13"/>
  <c r="AD10" i="13"/>
  <c r="S10" i="13"/>
  <c r="R10" i="13"/>
  <c r="L10" i="13"/>
  <c r="K10" i="13"/>
  <c r="R9" i="13"/>
  <c r="S9" i="13"/>
  <c r="AD9" i="13"/>
  <c r="L9" i="13"/>
  <c r="K9" i="13"/>
  <c r="AM9" i="8"/>
  <c r="AM10" i="8"/>
  <c r="AL9" i="8"/>
  <c r="AL10" i="8"/>
  <c r="AK9" i="8"/>
  <c r="AK10" i="8"/>
  <c r="AF27" i="8"/>
  <c r="AH27" i="8" s="1"/>
  <c r="AN27" i="8" s="1"/>
  <c r="U27" i="8"/>
  <c r="AL27" i="8" s="1"/>
  <c r="T27" i="8"/>
  <c r="N27" i="8"/>
  <c r="AK27" i="8" s="1"/>
  <c r="M27" i="8"/>
  <c r="AB27" i="8"/>
  <c r="AM27" i="8" s="1"/>
  <c r="AA27" i="8"/>
  <c r="AF26" i="8"/>
  <c r="AH26" i="8" s="1"/>
  <c r="AN26" i="8" s="1"/>
  <c r="U26" i="8"/>
  <c r="AL26" i="8" s="1"/>
  <c r="T26" i="8"/>
  <c r="N26" i="8"/>
  <c r="AK26" i="8" s="1"/>
  <c r="M26" i="8"/>
  <c r="AB26" i="8"/>
  <c r="AM26" i="8" s="1"/>
  <c r="AA26" i="8"/>
  <c r="AB31" i="13" l="1"/>
  <c r="AB23" i="13"/>
  <c r="AC29" i="13"/>
  <c r="AB32" i="13"/>
  <c r="AC31" i="13"/>
  <c r="Z29" i="13"/>
  <c r="AC30" i="13"/>
  <c r="Z32" i="13"/>
  <c r="AB30" i="13"/>
  <c r="AB29" i="13"/>
  <c r="AB27" i="13"/>
  <c r="AB28" i="13"/>
  <c r="AC27" i="13"/>
  <c r="Z28" i="13"/>
  <c r="AC26" i="13"/>
  <c r="Z26" i="13"/>
  <c r="AC28" i="13"/>
  <c r="Z27" i="13"/>
  <c r="C27" i="13"/>
  <c r="AB26" i="13"/>
  <c r="Z25" i="13"/>
  <c r="AC25" i="13"/>
  <c r="AC24" i="13"/>
  <c r="Z23" i="13"/>
  <c r="AC22" i="13"/>
  <c r="AB24" i="13"/>
  <c r="AB22" i="13"/>
  <c r="Z22" i="13"/>
  <c r="Z24" i="13"/>
  <c r="AC23" i="13"/>
  <c r="AC9" i="13"/>
  <c r="AC17" i="13"/>
  <c r="Z17" i="13"/>
  <c r="AC21" i="13"/>
  <c r="AB21" i="13"/>
  <c r="Z21" i="13"/>
  <c r="Z9" i="13"/>
  <c r="AC10" i="13"/>
  <c r="Z16" i="13"/>
  <c r="AB11" i="13"/>
  <c r="Z11" i="13"/>
  <c r="Z10" i="13"/>
  <c r="AC20" i="13"/>
  <c r="AB20" i="13"/>
  <c r="Z20" i="13"/>
  <c r="AC19" i="13"/>
  <c r="Z19" i="13"/>
  <c r="AB19" i="13"/>
  <c r="Z18" i="13"/>
  <c r="AC18" i="13"/>
  <c r="AB18" i="13"/>
  <c r="L36" i="13"/>
  <c r="AC16" i="13"/>
  <c r="AB16" i="13"/>
  <c r="AB10" i="13"/>
  <c r="AC11" i="13"/>
  <c r="AB17" i="13"/>
  <c r="C31" i="8"/>
  <c r="E31" i="8" s="1"/>
  <c r="AC15" i="13"/>
  <c r="Z15" i="13"/>
  <c r="AB15" i="13"/>
  <c r="AM29" i="8"/>
  <c r="AB9" i="13"/>
  <c r="N37" i="13"/>
  <c r="O37" i="13"/>
  <c r="P37" i="13"/>
  <c r="Q37" i="13"/>
  <c r="U37" i="13"/>
  <c r="V37" i="13"/>
  <c r="AD8" i="13"/>
  <c r="R8" i="13"/>
  <c r="S8" i="13"/>
  <c r="K8" i="13"/>
  <c r="L8" i="13"/>
  <c r="AF25" i="8"/>
  <c r="AH25" i="8" s="1"/>
  <c r="AN25" i="8" s="1"/>
  <c r="AB25" i="8"/>
  <c r="AM25" i="8" s="1"/>
  <c r="AA25" i="8"/>
  <c r="U25" i="8"/>
  <c r="T25" i="8"/>
  <c r="N25" i="8"/>
  <c r="AK25" i="8" s="1"/>
  <c r="M25" i="8"/>
  <c r="AF24" i="8"/>
  <c r="AH24" i="8" s="1"/>
  <c r="AN24" i="8" s="1"/>
  <c r="AB24" i="8"/>
  <c r="AM24" i="8" s="1"/>
  <c r="AA24" i="8"/>
  <c r="U24" i="8"/>
  <c r="AL24" i="8" s="1"/>
  <c r="T24" i="8"/>
  <c r="N24" i="8"/>
  <c r="AK24" i="8" s="1"/>
  <c r="M24" i="8"/>
  <c r="AB12" i="9"/>
  <c r="AA12" i="9"/>
  <c r="U12" i="9"/>
  <c r="AF12" i="9" s="1"/>
  <c r="T12" i="9"/>
  <c r="N12" i="9"/>
  <c r="M12" i="9"/>
  <c r="AB11" i="9"/>
  <c r="AA11" i="9"/>
  <c r="U11" i="9"/>
  <c r="AF11" i="9" s="1"/>
  <c r="T11" i="9"/>
  <c r="N11" i="9"/>
  <c r="M11" i="9"/>
  <c r="C11" i="9"/>
  <c r="E11" i="9"/>
  <c r="C12" i="9"/>
  <c r="E12" i="9"/>
  <c r="AF23" i="8"/>
  <c r="AH23" i="8" s="1"/>
  <c r="AN23" i="8" s="1"/>
  <c r="AB23" i="8"/>
  <c r="AM23" i="8" s="1"/>
  <c r="AA23" i="8"/>
  <c r="U23" i="8"/>
  <c r="AL23" i="8"/>
  <c r="T23" i="8"/>
  <c r="N23" i="8"/>
  <c r="AK23" i="8" s="1"/>
  <c r="M23" i="8"/>
  <c r="AF22" i="8"/>
  <c r="AH22" i="8" s="1"/>
  <c r="AN22" i="8" s="1"/>
  <c r="AB22" i="8"/>
  <c r="AM22" i="8" s="1"/>
  <c r="AA22" i="8"/>
  <c r="U22" i="8"/>
  <c r="AL22" i="8" s="1"/>
  <c r="T22" i="8"/>
  <c r="N22" i="8"/>
  <c r="AK22" i="8" s="1"/>
  <c r="M22" i="8"/>
  <c r="AB10" i="9"/>
  <c r="AA10" i="9"/>
  <c r="U10" i="9"/>
  <c r="AF10" i="9" s="1"/>
  <c r="T10" i="9"/>
  <c r="N10" i="9"/>
  <c r="M10" i="9"/>
  <c r="AB9" i="9"/>
  <c r="AG9" i="9" s="1"/>
  <c r="AA9" i="9"/>
  <c r="U9" i="9"/>
  <c r="AF9" i="9" s="1"/>
  <c r="T9" i="9"/>
  <c r="N9" i="9"/>
  <c r="M9" i="9"/>
  <c r="C9" i="9"/>
  <c r="E9" i="9" s="1"/>
  <c r="AD6" i="13"/>
  <c r="AD7" i="13"/>
  <c r="AD5" i="13"/>
  <c r="AL25" i="8" l="1"/>
  <c r="C28" i="13"/>
  <c r="E27" i="13"/>
  <c r="AG12" i="9"/>
  <c r="AE12" i="9"/>
  <c r="AD12" i="9"/>
  <c r="AH12" i="9" s="1"/>
  <c r="AG11" i="9"/>
  <c r="AE11" i="9"/>
  <c r="AD11" i="9"/>
  <c r="AH11" i="9" s="1"/>
  <c r="AG10" i="9"/>
  <c r="AE10" i="9"/>
  <c r="AD10" i="9"/>
  <c r="AH10" i="9" s="1"/>
  <c r="AD9" i="9"/>
  <c r="AH9" i="9" s="1"/>
  <c r="AE9" i="9"/>
  <c r="AC8" i="13"/>
  <c r="Z8" i="13"/>
  <c r="AB8" i="13"/>
  <c r="AD37" i="13"/>
  <c r="C10" i="9"/>
  <c r="E10" i="9" s="1"/>
  <c r="S6" i="13"/>
  <c r="S7" i="13"/>
  <c r="R6" i="13"/>
  <c r="R7" i="13"/>
  <c r="L6" i="13"/>
  <c r="L7" i="13"/>
  <c r="K6" i="13"/>
  <c r="K7" i="13"/>
  <c r="S5" i="13"/>
  <c r="R5" i="13"/>
  <c r="L5" i="13"/>
  <c r="K5" i="13"/>
  <c r="C6" i="13"/>
  <c r="C7" i="13" s="1"/>
  <c r="E5" i="13"/>
  <c r="AB21" i="8"/>
  <c r="AM21" i="8" s="1"/>
  <c r="AA21" i="8"/>
  <c r="AH21" i="8" s="1"/>
  <c r="AN21" i="8" s="1"/>
  <c r="U21" i="8"/>
  <c r="AL21" i="8" s="1"/>
  <c r="T21" i="8"/>
  <c r="N21" i="8"/>
  <c r="AK21" i="8" s="1"/>
  <c r="M21" i="8"/>
  <c r="AF21" i="8"/>
  <c r="AF20" i="8"/>
  <c r="AH20" i="8" s="1"/>
  <c r="AN20" i="8" s="1"/>
  <c r="U20" i="8"/>
  <c r="AL20" i="8" s="1"/>
  <c r="T20" i="8"/>
  <c r="N20" i="8"/>
  <c r="AK20" i="8" s="1"/>
  <c r="M20" i="8"/>
  <c r="AB20" i="8"/>
  <c r="AM20" i="8" s="1"/>
  <c r="AA20" i="8"/>
  <c r="AF8" i="9"/>
  <c r="AB7" i="9"/>
  <c r="AB8" i="9"/>
  <c r="AA7" i="9"/>
  <c r="AA8" i="9"/>
  <c r="U7" i="9"/>
  <c r="U18" i="9" s="1"/>
  <c r="U8" i="9"/>
  <c r="T7" i="9"/>
  <c r="T8" i="9"/>
  <c r="N7" i="9"/>
  <c r="N18" i="9" s="1"/>
  <c r="N8" i="9"/>
  <c r="M8" i="9"/>
  <c r="M7" i="9"/>
  <c r="E7" i="9"/>
  <c r="E8" i="9"/>
  <c r="C7" i="9"/>
  <c r="C8" i="9"/>
  <c r="I18" i="9"/>
  <c r="J18" i="9"/>
  <c r="K18" i="9"/>
  <c r="L18" i="9"/>
  <c r="P18" i="9"/>
  <c r="Q18" i="9"/>
  <c r="R18" i="9"/>
  <c r="S18" i="9"/>
  <c r="W18" i="9"/>
  <c r="X18" i="9"/>
  <c r="Y18" i="9"/>
  <c r="Z18" i="9"/>
  <c r="G18" i="9"/>
  <c r="G35" i="8"/>
  <c r="AN19" i="8"/>
  <c r="AF6" i="9"/>
  <c r="AB6" i="9"/>
  <c r="AA6" i="9"/>
  <c r="T6" i="9"/>
  <c r="U6" i="9"/>
  <c r="N6" i="9"/>
  <c r="M6" i="9"/>
  <c r="AB5" i="9"/>
  <c r="AA5" i="9"/>
  <c r="U5" i="9"/>
  <c r="T5" i="9"/>
  <c r="N5" i="9"/>
  <c r="M5" i="9"/>
  <c r="E6" i="9"/>
  <c r="C6" i="9"/>
  <c r="E5" i="9"/>
  <c r="AF19" i="8"/>
  <c r="AH19" i="8" s="1"/>
  <c r="AB19" i="8"/>
  <c r="AM19" i="8" s="1"/>
  <c r="AA19" i="8"/>
  <c r="AB18" i="8"/>
  <c r="AM18" i="8" s="1"/>
  <c r="AA18" i="8"/>
  <c r="T19" i="8"/>
  <c r="AL19" i="8" s="1"/>
  <c r="U19" i="8"/>
  <c r="U18" i="8"/>
  <c r="AL18" i="8" s="1"/>
  <c r="T18" i="8"/>
  <c r="N19" i="8"/>
  <c r="AK19" i="8" s="1"/>
  <c r="M19" i="8"/>
  <c r="AF18" i="8"/>
  <c r="N18" i="8"/>
  <c r="AK18" i="8"/>
  <c r="M18" i="8"/>
  <c r="AA17" i="8"/>
  <c r="AH17" i="8" s="1"/>
  <c r="AN17" i="8" s="1"/>
  <c r="AB17" i="8"/>
  <c r="U17" i="8"/>
  <c r="AL17" i="8" s="1"/>
  <c r="T17" i="8"/>
  <c r="N17" i="8"/>
  <c r="AK17" i="8" s="1"/>
  <c r="M17" i="8"/>
  <c r="AB16" i="8"/>
  <c r="AM16" i="8" s="1"/>
  <c r="AA16" i="8"/>
  <c r="AH16" i="8" s="1"/>
  <c r="AN16" i="8" s="1"/>
  <c r="U16" i="8"/>
  <c r="AL16" i="8" s="1"/>
  <c r="T16" i="8"/>
  <c r="N16" i="8"/>
  <c r="AK16" i="8"/>
  <c r="M16" i="8"/>
  <c r="AF17" i="8"/>
  <c r="AF16" i="8"/>
  <c r="AN14" i="8"/>
  <c r="AN15" i="8"/>
  <c r="AM14" i="8"/>
  <c r="AM15" i="8"/>
  <c r="AL14" i="8"/>
  <c r="AL15" i="8"/>
  <c r="AK14" i="8"/>
  <c r="AK15" i="8"/>
  <c r="AH14" i="8"/>
  <c r="AH15" i="8"/>
  <c r="AB14" i="8"/>
  <c r="AB15" i="8"/>
  <c r="T15" i="8"/>
  <c r="U14" i="8"/>
  <c r="U15" i="8"/>
  <c r="N14" i="8"/>
  <c r="N15" i="8"/>
  <c r="AF15" i="8"/>
  <c r="AF14" i="8"/>
  <c r="AF13" i="8"/>
  <c r="AA15" i="8"/>
  <c r="M15" i="8"/>
  <c r="AA14" i="8"/>
  <c r="T14" i="8"/>
  <c r="M14" i="8"/>
  <c r="Z39" i="13"/>
  <c r="AD20" i="9"/>
  <c r="E28" i="13" l="1"/>
  <c r="C29" i="13"/>
  <c r="R37" i="13"/>
  <c r="AG8" i="9"/>
  <c r="AA18" i="9"/>
  <c r="AD6" i="9"/>
  <c r="AH6" i="9" s="1"/>
  <c r="M18" i="9"/>
  <c r="AE6" i="9"/>
  <c r="AD8" i="9"/>
  <c r="AH8" i="9" s="1"/>
  <c r="AE8" i="9"/>
  <c r="AG6" i="9"/>
  <c r="AB18" i="9"/>
  <c r="S37" i="13"/>
  <c r="AC6" i="13"/>
  <c r="E7" i="13"/>
  <c r="C8" i="13"/>
  <c r="AB6" i="13"/>
  <c r="Z5" i="13"/>
  <c r="K13" i="13"/>
  <c r="AB7" i="13"/>
  <c r="AB5" i="13"/>
  <c r="AC7" i="13"/>
  <c r="Z7" i="13"/>
  <c r="AC5" i="13"/>
  <c r="Z6" i="13"/>
  <c r="E6" i="13"/>
  <c r="AG7" i="9"/>
  <c r="AF7" i="9"/>
  <c r="T18" i="9"/>
  <c r="AF18" i="9" s="1"/>
  <c r="AD7" i="9"/>
  <c r="AH7" i="9" s="1"/>
  <c r="AE7" i="9"/>
  <c r="AE18" i="9"/>
  <c r="AG5" i="9"/>
  <c r="AD5" i="9"/>
  <c r="AH5" i="9" s="1"/>
  <c r="AF5" i="9"/>
  <c r="AE5" i="9"/>
  <c r="AH18" i="8"/>
  <c r="AN18" i="8" s="1"/>
  <c r="AM17" i="8"/>
  <c r="AD39" i="13"/>
  <c r="AC39" i="13"/>
  <c r="AB39" i="13"/>
  <c r="Z41" i="13"/>
  <c r="C30" i="13" l="1"/>
  <c r="E29" i="13"/>
  <c r="AC37" i="13"/>
  <c r="AG18" i="9"/>
  <c r="Z37" i="13"/>
  <c r="E8" i="13"/>
  <c r="C9" i="13"/>
  <c r="AD18" i="9"/>
  <c r="AH18" i="9" s="1"/>
  <c r="AM13" i="8"/>
  <c r="AK13" i="8"/>
  <c r="AN12" i="8"/>
  <c r="AH13" i="8"/>
  <c r="AN13" i="8" s="1"/>
  <c r="AB13" i="8"/>
  <c r="AA13" i="8"/>
  <c r="U13" i="8"/>
  <c r="AL13" i="8" s="1"/>
  <c r="T13" i="8"/>
  <c r="N13" i="8"/>
  <c r="M13" i="8"/>
  <c r="N12" i="8"/>
  <c r="M12" i="8"/>
  <c r="AH12" i="8" s="1"/>
  <c r="AN5" i="8"/>
  <c r="AN6" i="8"/>
  <c r="AN7" i="8"/>
  <c r="AN9" i="8"/>
  <c r="AL12" i="8"/>
  <c r="U12" i="8"/>
  <c r="T12" i="8"/>
  <c r="AB12" i="8"/>
  <c r="AM12" i="8" s="1"/>
  <c r="AA12" i="8"/>
  <c r="AF12" i="8"/>
  <c r="E30" i="13" l="1"/>
  <c r="C31" i="13"/>
  <c r="E9" i="13"/>
  <c r="C10" i="13"/>
  <c r="AK12" i="8"/>
  <c r="E31" i="13" l="1"/>
  <c r="C32" i="13"/>
  <c r="E32" i="13" s="1"/>
  <c r="E10" i="13"/>
  <c r="C11" i="13"/>
  <c r="G47" i="13"/>
  <c r="AB30" i="9"/>
  <c r="Z30" i="9"/>
  <c r="AG20" i="9"/>
  <c r="J30" i="9"/>
  <c r="K30" i="9"/>
  <c r="L30" i="9"/>
  <c r="O30" i="9"/>
  <c r="P30" i="9"/>
  <c r="Q30" i="9"/>
  <c r="R30" i="9"/>
  <c r="S30" i="9"/>
  <c r="T30" i="9"/>
  <c r="U30" i="9"/>
  <c r="W30" i="9"/>
  <c r="X30" i="9"/>
  <c r="Y30" i="9"/>
  <c r="AA30" i="9"/>
  <c r="I30" i="9"/>
  <c r="G30" i="9"/>
  <c r="AF20" i="9"/>
  <c r="AE20" i="9"/>
  <c r="AH20" i="9"/>
  <c r="AL47" i="8"/>
  <c r="G48" i="8"/>
  <c r="AE47" i="8"/>
  <c r="AF47" i="8"/>
  <c r="AD47" i="8"/>
  <c r="AB47" i="8"/>
  <c r="K47" i="8"/>
  <c r="L47" i="8"/>
  <c r="M47" i="8"/>
  <c r="N47" i="8"/>
  <c r="P47" i="8"/>
  <c r="Q47" i="8"/>
  <c r="R47" i="8"/>
  <c r="S47" i="8"/>
  <c r="T47" i="8"/>
  <c r="U47" i="8"/>
  <c r="V47" i="8"/>
  <c r="W47" i="8"/>
  <c r="X47" i="8"/>
  <c r="Y47" i="8"/>
  <c r="Z47" i="8"/>
  <c r="AA47" i="8"/>
  <c r="J47" i="8"/>
  <c r="I47" i="8"/>
  <c r="AF46" i="8"/>
  <c r="AF45" i="8"/>
  <c r="AF44" i="8"/>
  <c r="AF43" i="8"/>
  <c r="AF42" i="8"/>
  <c r="AF41" i="8"/>
  <c r="AF40" i="8"/>
  <c r="AF39" i="8"/>
  <c r="AF38" i="8"/>
  <c r="AF37" i="8"/>
  <c r="AH37" i="8" s="1"/>
  <c r="AN37" i="8" s="1"/>
  <c r="AB38" i="8"/>
  <c r="AB39" i="8"/>
  <c r="AB40" i="8"/>
  <c r="AB41" i="8"/>
  <c r="AB42" i="8"/>
  <c r="AB46" i="8"/>
  <c r="AB45" i="8"/>
  <c r="AB44" i="8"/>
  <c r="AA46" i="8"/>
  <c r="AA45" i="8"/>
  <c r="AA44" i="8"/>
  <c r="AA38" i="8"/>
  <c r="AA39" i="8"/>
  <c r="AA40" i="8"/>
  <c r="AA41" i="8"/>
  <c r="AA42" i="8"/>
  <c r="N46" i="8"/>
  <c r="N45" i="8"/>
  <c r="N44" i="8"/>
  <c r="N38" i="8"/>
  <c r="N39" i="8"/>
  <c r="N40" i="8"/>
  <c r="N41" i="8"/>
  <c r="N42" i="8"/>
  <c r="M39" i="8"/>
  <c r="M40" i="8"/>
  <c r="M41" i="8"/>
  <c r="M42" i="8"/>
  <c r="M43" i="8"/>
  <c r="M44" i="8"/>
  <c r="M45" i="8"/>
  <c r="M46" i="8"/>
  <c r="M38" i="8"/>
  <c r="AL37" i="8"/>
  <c r="AK37" i="8"/>
  <c r="G47" i="8"/>
  <c r="I35" i="8"/>
  <c r="J35" i="8"/>
  <c r="K35" i="8"/>
  <c r="L35" i="8"/>
  <c r="P35" i="8"/>
  <c r="Q35" i="8"/>
  <c r="R35" i="8"/>
  <c r="S35" i="8"/>
  <c r="W35" i="8"/>
  <c r="X35" i="8"/>
  <c r="Y35" i="8"/>
  <c r="Z35" i="8"/>
  <c r="AD35" i="8"/>
  <c r="AE35" i="8"/>
  <c r="E11" i="13" l="1"/>
  <c r="C12" i="13"/>
  <c r="AM37" i="8"/>
  <c r="AM47" i="8" s="1"/>
  <c r="E12" i="13" l="1"/>
  <c r="C15" i="13"/>
  <c r="M11" i="8"/>
  <c r="N11" i="8"/>
  <c r="T11" i="8"/>
  <c r="U11" i="8"/>
  <c r="AL11" i="8" s="1"/>
  <c r="AA11" i="8"/>
  <c r="AB11" i="8"/>
  <c r="AF11" i="8"/>
  <c r="AN39" i="8"/>
  <c r="AL38" i="8"/>
  <c r="AM38" i="8"/>
  <c r="AK39" i="8"/>
  <c r="AL39" i="8"/>
  <c r="AM39" i="8"/>
  <c r="AK40" i="8"/>
  <c r="AK47" i="8" s="1"/>
  <c r="AL40" i="8"/>
  <c r="AM40" i="8"/>
  <c r="AK41" i="8"/>
  <c r="AL41" i="8"/>
  <c r="AL48" i="8" s="1"/>
  <c r="AM41" i="8"/>
  <c r="AK42" i="8"/>
  <c r="AL42" i="8"/>
  <c r="AM42" i="8"/>
  <c r="AL43" i="8"/>
  <c r="AK44" i="8"/>
  <c r="AL44" i="8"/>
  <c r="AM44" i="8"/>
  <c r="AK45" i="8"/>
  <c r="AL45" i="8"/>
  <c r="AM45" i="8"/>
  <c r="AK46" i="8"/>
  <c r="AL46" i="8"/>
  <c r="AM46" i="8"/>
  <c r="AF22" i="9"/>
  <c r="AF23" i="9"/>
  <c r="AF24" i="9"/>
  <c r="AF25" i="9"/>
  <c r="AF26" i="9"/>
  <c r="AF27" i="9"/>
  <c r="AF28" i="9"/>
  <c r="AF29" i="9"/>
  <c r="AF21" i="9"/>
  <c r="AE21" i="9"/>
  <c r="AG21" i="9"/>
  <c r="AE22" i="9"/>
  <c r="AG22" i="9"/>
  <c r="AE23" i="9"/>
  <c r="AG23" i="9"/>
  <c r="AE24" i="9"/>
  <c r="AG24" i="9"/>
  <c r="AE25" i="9"/>
  <c r="AG25" i="9"/>
  <c r="AG26" i="9"/>
  <c r="AE27" i="9"/>
  <c r="AG27" i="9"/>
  <c r="AE28" i="9"/>
  <c r="AG28" i="9"/>
  <c r="AE29" i="9"/>
  <c r="AG29" i="9"/>
  <c r="AD40" i="13"/>
  <c r="S40" i="13"/>
  <c r="R40" i="13"/>
  <c r="L40" i="13"/>
  <c r="K40" i="13"/>
  <c r="X48" i="13"/>
  <c r="W48" i="13"/>
  <c r="S48" i="13"/>
  <c r="R48" i="13"/>
  <c r="L48" i="13"/>
  <c r="K48" i="13"/>
  <c r="AD47" i="13"/>
  <c r="S47" i="13"/>
  <c r="R47" i="13"/>
  <c r="J47" i="13"/>
  <c r="I47" i="13"/>
  <c r="H47" i="13"/>
  <c r="AD46" i="13"/>
  <c r="AC46" i="13"/>
  <c r="AB46" i="13"/>
  <c r="Z46" i="13"/>
  <c r="AD45" i="13"/>
  <c r="S45" i="13"/>
  <c r="R45" i="13"/>
  <c r="L45" i="13"/>
  <c r="K45" i="13"/>
  <c r="AD44" i="13"/>
  <c r="S44" i="13"/>
  <c r="R44" i="13"/>
  <c r="L44" i="13"/>
  <c r="K44" i="13"/>
  <c r="AD43" i="13"/>
  <c r="AC43" i="13"/>
  <c r="AB43" i="13"/>
  <c r="Z43" i="13"/>
  <c r="S42" i="13"/>
  <c r="R42" i="13"/>
  <c r="Z42" i="13" s="1"/>
  <c r="J36" i="13"/>
  <c r="H36" i="13"/>
  <c r="J13" i="13"/>
  <c r="I13" i="13"/>
  <c r="H13" i="13"/>
  <c r="G13" i="13"/>
  <c r="C16" i="13" l="1"/>
  <c r="E15" i="13"/>
  <c r="H37" i="13"/>
  <c r="G37" i="13"/>
  <c r="I37" i="13"/>
  <c r="J37" i="13"/>
  <c r="AG30" i="9"/>
  <c r="AF30" i="9"/>
  <c r="Z40" i="13"/>
  <c r="AC47" i="13"/>
  <c r="AK11" i="8"/>
  <c r="AM11" i="8"/>
  <c r="AC40" i="13"/>
  <c r="AB45" i="13"/>
  <c r="AC44" i="13"/>
  <c r="AB48" i="13"/>
  <c r="AB40" i="13"/>
  <c r="L47" i="13"/>
  <c r="AH11" i="8"/>
  <c r="AN11" i="8" s="1"/>
  <c r="Z48" i="13"/>
  <c r="Z44" i="13"/>
  <c r="AD48" i="13"/>
  <c r="L13" i="13"/>
  <c r="L37" i="13" s="1"/>
  <c r="Z45" i="13"/>
  <c r="AC45" i="13"/>
  <c r="AB44" i="13"/>
  <c r="K36" i="13"/>
  <c r="K37" i="13" s="1"/>
  <c r="K47" i="13"/>
  <c r="Z47" i="13" s="1"/>
  <c r="AC48" i="13"/>
  <c r="C17" i="13" l="1"/>
  <c r="E16" i="13"/>
  <c r="AB37" i="13"/>
  <c r="AB47" i="13"/>
  <c r="E17" i="13" l="1"/>
  <c r="C18" i="13"/>
  <c r="D25" i="12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B25" i="12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D7" i="12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6" i="12"/>
  <c r="B6" i="12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BA1" i="12"/>
  <c r="AO1" i="12"/>
  <c r="AC1" i="12"/>
  <c r="Q1" i="12"/>
  <c r="AP10" i="11"/>
  <c r="AP11" i="11" s="1"/>
  <c r="AP12" i="11" s="1"/>
  <c r="AP13" i="11" s="1"/>
  <c r="AP14" i="11" s="1"/>
  <c r="AP15" i="11" s="1"/>
  <c r="AP16" i="11" s="1"/>
  <c r="AL9" i="11"/>
  <c r="AL10" i="11" s="1"/>
  <c r="AL11" i="11" s="1"/>
  <c r="AL12" i="11" s="1"/>
  <c r="AL13" i="11" s="1"/>
  <c r="AL14" i="11" s="1"/>
  <c r="AU7" i="11"/>
  <c r="AU8" i="11" s="1"/>
  <c r="AU9" i="11" s="1"/>
  <c r="AU10" i="11" s="1"/>
  <c r="AU11" i="11" s="1"/>
  <c r="AU12" i="11" s="1"/>
  <c r="AU13" i="11" s="1"/>
  <c r="AU14" i="11" s="1"/>
  <c r="AU15" i="11" s="1"/>
  <c r="AU16" i="11" s="1"/>
  <c r="AU17" i="11" s="1"/>
  <c r="AP7" i="11"/>
  <c r="AK7" i="11"/>
  <c r="AK8" i="11" s="1"/>
  <c r="AK9" i="11" s="1"/>
  <c r="AK10" i="11" s="1"/>
  <c r="AK11" i="11" s="1"/>
  <c r="AK12" i="11" s="1"/>
  <c r="AK13" i="11" s="1"/>
  <c r="AK14" i="11" s="1"/>
  <c r="AK15" i="11" s="1"/>
  <c r="AK16" i="11" s="1"/>
  <c r="AK5" i="11"/>
  <c r="D5" i="1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B5" i="1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BA1" i="11"/>
  <c r="AO1" i="11"/>
  <c r="AC1" i="11"/>
  <c r="Q1" i="11"/>
  <c r="AN15" i="10"/>
  <c r="AN14" i="10"/>
  <c r="AM14" i="10"/>
  <c r="AM15" i="10" s="1"/>
  <c r="AM16" i="10" s="1"/>
  <c r="D9" i="10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B9" i="10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D8" i="10"/>
  <c r="B8" i="10"/>
  <c r="A8" i="10"/>
  <c r="B5" i="10"/>
  <c r="BC1" i="10"/>
  <c r="AU1" i="10"/>
  <c r="AE1" i="10"/>
  <c r="S1" i="10"/>
  <c r="E18" i="13" l="1"/>
  <c r="C19" i="13"/>
  <c r="AD21" i="9"/>
  <c r="AD22" i="9"/>
  <c r="AH22" i="9" s="1"/>
  <c r="AD23" i="9"/>
  <c r="AH23" i="9" s="1"/>
  <c r="E19" i="13" l="1"/>
  <c r="C20" i="13"/>
  <c r="AH21" i="9"/>
  <c r="AD29" i="9"/>
  <c r="AH29" i="9" s="1"/>
  <c r="AD28" i="9"/>
  <c r="AH28" i="9" s="1"/>
  <c r="AD27" i="9"/>
  <c r="AH27" i="9" s="1"/>
  <c r="N26" i="9"/>
  <c r="N30" i="9" s="1"/>
  <c r="M26" i="9"/>
  <c r="M30" i="9" s="1"/>
  <c r="AD25" i="9"/>
  <c r="AH25" i="9" s="1"/>
  <c r="AD24" i="9"/>
  <c r="AH24" i="9" s="1"/>
  <c r="E20" i="13" l="1"/>
  <c r="C21" i="13"/>
  <c r="AE26" i="9"/>
  <c r="AE30" i="9" s="1"/>
  <c r="AD26" i="9"/>
  <c r="AD30" i="9" s="1"/>
  <c r="E21" i="13" l="1"/>
  <c r="C22" i="13"/>
  <c r="AH26" i="9"/>
  <c r="AH30" i="9" s="1"/>
  <c r="E22" i="13" l="1"/>
  <c r="C23" i="13"/>
  <c r="AK38" i="8"/>
  <c r="AH38" i="8"/>
  <c r="AF7" i="8"/>
  <c r="M7" i="8"/>
  <c r="M8" i="8"/>
  <c r="I48" i="8"/>
  <c r="J48" i="8"/>
  <c r="K48" i="8"/>
  <c r="L48" i="8"/>
  <c r="P48" i="8"/>
  <c r="Q48" i="8"/>
  <c r="R48" i="8"/>
  <c r="S48" i="8"/>
  <c r="T48" i="8"/>
  <c r="U48" i="8"/>
  <c r="W48" i="8"/>
  <c r="X48" i="8"/>
  <c r="Y48" i="8"/>
  <c r="Z48" i="8"/>
  <c r="AD48" i="8"/>
  <c r="AE48" i="8"/>
  <c r="AF48" i="8"/>
  <c r="AH40" i="8"/>
  <c r="E23" i="13" l="1"/>
  <c r="C24" i="13"/>
  <c r="E24" i="13" s="1"/>
  <c r="AN40" i="8"/>
  <c r="AH47" i="8"/>
  <c r="AN47" i="8" s="1"/>
  <c r="AN38" i="8"/>
  <c r="AH7" i="8"/>
  <c r="AH41" i="8" l="1"/>
  <c r="AH42" i="8"/>
  <c r="AN42" i="8" s="1"/>
  <c r="AH44" i="8"/>
  <c r="AN44" i="8" s="1"/>
  <c r="AH45" i="8"/>
  <c r="AN45" i="8" s="1"/>
  <c r="AH46" i="8"/>
  <c r="AN46" i="8" s="1"/>
  <c r="AN41" i="8" l="1"/>
  <c r="C6" i="8"/>
  <c r="C7" i="8" s="1"/>
  <c r="C8" i="8" s="1"/>
  <c r="AF9" i="8"/>
  <c r="AA9" i="8"/>
  <c r="T9" i="8"/>
  <c r="M9" i="8"/>
  <c r="AF6" i="8"/>
  <c r="AA6" i="8"/>
  <c r="M6" i="8"/>
  <c r="AF8" i="8"/>
  <c r="AA8" i="8"/>
  <c r="T8" i="8"/>
  <c r="AF10" i="8"/>
  <c r="AA10" i="8"/>
  <c r="T10" i="8"/>
  <c r="M10" i="8"/>
  <c r="AF5" i="8"/>
  <c r="AA5" i="8"/>
  <c r="T5" i="8"/>
  <c r="M5" i="8"/>
  <c r="AB6" i="8"/>
  <c r="AB8" i="8"/>
  <c r="AM8" i="8" s="1"/>
  <c r="AB9" i="8"/>
  <c r="AB10" i="8"/>
  <c r="U6" i="8"/>
  <c r="AL6" i="8" s="1"/>
  <c r="U8" i="8"/>
  <c r="U9" i="8"/>
  <c r="U10" i="8"/>
  <c r="N6" i="8"/>
  <c r="N8" i="8"/>
  <c r="AK8" i="8" s="1"/>
  <c r="N9" i="8"/>
  <c r="N10" i="8"/>
  <c r="AB43" i="8"/>
  <c r="AA43" i="8"/>
  <c r="AA48" i="8" s="1"/>
  <c r="N43" i="8"/>
  <c r="M48" i="8"/>
  <c r="E5" i="8"/>
  <c r="N5" i="8"/>
  <c r="U5" i="8"/>
  <c r="AB5" i="8"/>
  <c r="AL8" i="8" l="1"/>
  <c r="T35" i="8"/>
  <c r="AB48" i="8"/>
  <c r="AM43" i="8"/>
  <c r="AM48" i="8" s="1"/>
  <c r="N35" i="8"/>
  <c r="U35" i="8"/>
  <c r="N48" i="8"/>
  <c r="AK43" i="8"/>
  <c r="AK48" i="8" s="1"/>
  <c r="M35" i="8"/>
  <c r="AA35" i="8"/>
  <c r="AF35" i="8"/>
  <c r="AB35" i="8"/>
  <c r="AK6" i="8"/>
  <c r="AK5" i="8"/>
  <c r="AL5" i="8"/>
  <c r="AM7" i="8"/>
  <c r="AL7" i="8"/>
  <c r="AM5" i="8"/>
  <c r="AK7" i="8"/>
  <c r="AM6" i="8"/>
  <c r="AH43" i="8"/>
  <c r="E6" i="8"/>
  <c r="AH8" i="8"/>
  <c r="AN8" i="8" s="1"/>
  <c r="AH5" i="8"/>
  <c r="AH10" i="8"/>
  <c r="AN10" i="8" s="1"/>
  <c r="AH6" i="8"/>
  <c r="AH9" i="8"/>
  <c r="E8" i="8"/>
  <c r="C9" i="8"/>
  <c r="E7" i="8"/>
  <c r="AL35" i="8" l="1"/>
  <c r="AN43" i="8"/>
  <c r="AH48" i="8"/>
  <c r="AN48" i="8" s="1"/>
  <c r="AK35" i="8"/>
  <c r="AM35" i="8"/>
  <c r="AH35" i="8"/>
  <c r="AN35" i="8" s="1"/>
  <c r="E9" i="8"/>
  <c r="C10" i="8"/>
  <c r="C11" i="8" s="1"/>
  <c r="C12" i="8" s="1"/>
  <c r="C13" i="8" l="1"/>
  <c r="E12" i="8"/>
  <c r="E11" i="8"/>
  <c r="E10" i="8"/>
  <c r="C14" i="8" l="1"/>
  <c r="E13" i="8"/>
  <c r="C15" i="8" l="1"/>
  <c r="E14" i="8"/>
  <c r="C16" i="8" l="1"/>
  <c r="E15" i="8"/>
  <c r="C17" i="8" l="1"/>
  <c r="E16" i="8"/>
  <c r="C18" i="8" l="1"/>
  <c r="E17" i="8"/>
  <c r="E18" i="8" l="1"/>
  <c r="C19" i="8"/>
  <c r="E19" i="8" l="1"/>
  <c r="C20" i="8"/>
  <c r="C21" i="8" l="1"/>
  <c r="E20" i="8"/>
  <c r="C22" i="8" l="1"/>
  <c r="E21" i="8"/>
  <c r="C23" i="8" l="1"/>
  <c r="E22" i="8"/>
  <c r="C24" i="8" l="1"/>
  <c r="E23" i="8"/>
  <c r="E24" i="8" l="1"/>
  <c r="C25" i="8"/>
  <c r="E25" i="8" l="1"/>
  <c r="C26" i="8"/>
  <c r="E26" i="8" l="1"/>
  <c r="C27" i="8"/>
  <c r="E27" i="8" s="1"/>
</calcChain>
</file>

<file path=xl/sharedStrings.xml><?xml version="1.0" encoding="utf-8"?>
<sst xmlns="http://schemas.openxmlformats.org/spreadsheetml/2006/main" count="647" uniqueCount="179">
  <si>
    <t>Information page for enclosed trapping summaries</t>
  </si>
  <si>
    <t>General Information</t>
  </si>
  <si>
    <t>1.  All data are preliminary, are subject to revision, and should be cited as such.</t>
  </si>
  <si>
    <t xml:space="preserve">2.  Trapping numbers and totals at Junction City and Willow Creek weirs are not total population estimates.  </t>
  </si>
  <si>
    <t>3.  Fish trapped at the weirs are a sub-sample of the population.  These fish are tagged for the purpose of estimating the population size using what is known as</t>
  </si>
  <si>
    <t xml:space="preserve">     a "mark and recapture" estimator.  Population estimates are formulated at the end of each run year.</t>
  </si>
  <si>
    <t>4.  Trinity River Hatchery totals are actual counts reflective of all fish which have entered and been processed at the facility.</t>
  </si>
  <si>
    <t xml:space="preserve">5.  Tags placed on fish trapped at the weirs are used for population estimates and angler harvest estimates.    </t>
  </si>
  <si>
    <t>6.  Fishing is not allowed within 750 feet of the weirs which are marked with signs at the upstream and downstream ends of the closure.</t>
  </si>
  <si>
    <t xml:space="preserve">7.  Fin clip totals (AD and RM) at the weirs and hatchery are used to estimate the hatchery contributions to each run.  Currently, 100% of the steelhead (AD clip) </t>
  </si>
  <si>
    <t xml:space="preserve">     and Coho Salmon (AD clip or RM clip) are marked at the hatchery prior to release as juveniles. Chinook Salmon (AD clip) are marked at a rate of approximately 25% prior to release.</t>
  </si>
  <si>
    <t>8.  Weir installation and removal dates are variable from year to year and are affected by river flow and funding levels.</t>
  </si>
  <si>
    <t>9.  Previous year totals are not always for the same time periods and should not be used for absolute comparisons, note installation date notes for each site.</t>
  </si>
  <si>
    <t>10.  Adult and grilse (jack) counts are based on provisional cut-off sizes.  The actual age composition of the run is determined post season.</t>
  </si>
  <si>
    <t>Junction City weir</t>
  </si>
  <si>
    <t xml:space="preserve">1.  Junction City weir is designed to capture/estimate the population of spring Chinook Salmon and is typically operated from June or early July (flow dependant) </t>
  </si>
  <si>
    <t xml:space="preserve">     through September. The weir is "fished" Sunday evening through Friday afternoon.  The weir is not fished on weekends and afternoons to allow fish passage.</t>
  </si>
  <si>
    <t xml:space="preserve">2.  Fall Chinook and Coho Salmon, steelhead and brown trout are also captured at Junction City weir.  We do not attempt make population estimates for these </t>
  </si>
  <si>
    <t xml:space="preserve">    species at Junction City weir. </t>
  </si>
  <si>
    <t>3.  All salmonids in good condition are tagged with a "spaghetti tag" which is pvc tubing placed behind the dorsal fin.  Each tag has a number and is inscribed with our address.</t>
  </si>
  <si>
    <t>4. Not all non-target species are marked in each year.</t>
  </si>
  <si>
    <t xml:space="preserve">Willow Creek weir </t>
  </si>
  <si>
    <t xml:space="preserve">1.  Willow Creek weir is designed to capture and estimate the population of fall Chinook Salmon and Coho Salmon and adult fall-run steelhead, and is typically operated from </t>
  </si>
  <si>
    <t xml:space="preserve">     mid-late August through November (flows permitting). The weir is "fished in the same manner as Junction City above, with 5 trapping days and 2 opened days</t>
  </si>
  <si>
    <t>2. The tail end of the spring Chinook Salmon run can be captured at Willow Creek, however we do not attempt to estimate this run of Chinook at Willow Creek weir.</t>
  </si>
  <si>
    <t>3. All fish deemed in good condition at Willow Creek weir are tagged with spaghetti tags inscribed with our address.</t>
  </si>
  <si>
    <t>Trinity River Hatchery</t>
  </si>
  <si>
    <t>1.  Hatchery summaries are not always posted on a weekly basis due to the large amount of data collection and entry.</t>
  </si>
  <si>
    <t>2.  All hatchery totals are complete counts of what has been processed at the facility.</t>
  </si>
  <si>
    <t>3.  Hatchery totals do not include fish which are being held in on-site ponds for ripening and future spawning.</t>
  </si>
  <si>
    <t>4.  There is a break in spawning operations, usually in October, to facilitate separation of spring- and fall-run Chinook Salmon.</t>
  </si>
  <si>
    <t>5.  The hatchery serves as our main recovery point for fish tagged at the two weirs.</t>
  </si>
  <si>
    <r>
      <t xml:space="preserve">Junction City Weir trapping summary for the 2024 season. 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 xml:space="preserve"> </t>
    </r>
  </si>
  <si>
    <t xml:space="preserve"> </t>
  </si>
  <si>
    <t>Chinook</t>
  </si>
  <si>
    <t>Coho</t>
  </si>
  <si>
    <t>Steelhead</t>
  </si>
  <si>
    <t>Brown trout</t>
  </si>
  <si>
    <t>Julian</t>
  </si>
  <si>
    <t>Trap</t>
  </si>
  <si>
    <r>
      <t xml:space="preserve">Grilse </t>
    </r>
    <r>
      <rPr>
        <b/>
        <vertAlign val="superscript"/>
        <sz val="10"/>
        <rFont val="Arial"/>
        <family val="2"/>
      </rPr>
      <t>2</t>
    </r>
  </si>
  <si>
    <t>Combined</t>
  </si>
  <si>
    <t>Adults</t>
  </si>
  <si>
    <r>
      <t xml:space="preserve">1/2 lbers </t>
    </r>
    <r>
      <rPr>
        <b/>
        <vertAlign val="superscript"/>
        <sz val="10"/>
        <rFont val="Arial"/>
        <family val="2"/>
      </rPr>
      <t>2</t>
    </r>
  </si>
  <si>
    <t>week</t>
  </si>
  <si>
    <t>days</t>
  </si>
  <si>
    <t>Total</t>
  </si>
  <si>
    <r>
      <t xml:space="preserve">Ads </t>
    </r>
    <r>
      <rPr>
        <b/>
        <vertAlign val="superscript"/>
        <sz val="10"/>
        <rFont val="Arial"/>
        <family val="2"/>
      </rPr>
      <t xml:space="preserve">3 </t>
    </r>
  </si>
  <si>
    <r>
      <t xml:space="preserve">Ads </t>
    </r>
    <r>
      <rPr>
        <b/>
        <vertAlign val="superscript"/>
        <sz val="10"/>
        <rFont val="Arial"/>
        <family val="2"/>
      </rPr>
      <t>3</t>
    </r>
  </si>
  <si>
    <t>&lt;42 cm</t>
  </si>
  <si>
    <t>&gt;41 cm</t>
  </si>
  <si>
    <t>GT</t>
  </si>
  <si>
    <t>JW</t>
  </si>
  <si>
    <t xml:space="preserve"> ----</t>
  </si>
  <si>
    <r>
      <t>2020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</si>
  <si>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</si>
  <si>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</si>
  <si>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</si>
  <si>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</si>
  <si>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</si>
  <si>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t>Mean longer season (post 2020)</t>
  </si>
  <si>
    <t>Mean shorter season (pre 2021)</t>
  </si>
  <si>
    <t>Notes:</t>
  </si>
  <si>
    <t>1/  Summary based on real time unedited data.  Not to be used for analysis.</t>
  </si>
  <si>
    <t>2/  Preliminarily we use a minimum adult size of 55 cm Fork Length (FL) for both Chinook and Coho Salmon.  Steelhead &lt;42 cm FL are considered half-pounders.</t>
  </si>
  <si>
    <t xml:space="preserve">4/ Totals are for entire season </t>
  </si>
  <si>
    <r>
      <t>1/2 lbers</t>
    </r>
    <r>
      <rPr>
        <b/>
        <vertAlign val="superscript"/>
        <sz val="10"/>
        <rFont val="Arial"/>
        <family val="2"/>
      </rPr>
      <t xml:space="preserve"> 2</t>
    </r>
  </si>
  <si>
    <t>% clip KS</t>
  </si>
  <si>
    <t>% clip CO</t>
  </si>
  <si>
    <t>% clip SH</t>
  </si>
  <si>
    <t>avg /trpdy</t>
  </si>
  <si>
    <t>--</t>
  </si>
  <si>
    <t>Mean:</t>
  </si>
  <si>
    <t>2/ Preliminarily we use a minimum adult size of 55 cm Fork Length (FL) for both Chinook and Coho salmon.  Steelhead &lt;42 cm FL are considered half-pounders.</t>
  </si>
  <si>
    <t xml:space="preserve">4/ Totals are for entire season, but you can check out cumulative to the week on historical tabs for each site. </t>
  </si>
  <si>
    <t>Trapping year</t>
  </si>
  <si>
    <t>Brown T.</t>
  </si>
  <si>
    <t>Brown T</t>
  </si>
  <si>
    <t>Browns</t>
  </si>
  <si>
    <t>-</t>
  </si>
  <si>
    <t xml:space="preserve"> -----</t>
  </si>
  <si>
    <t>JCW removed 08/18/15 for Boat</t>
  </si>
  <si>
    <t>Dance flows, then remained</t>
  </si>
  <si>
    <t>out due to Fall agumentation</t>
  </si>
  <si>
    <t>flows to cool lower Klamath</t>
  </si>
  <si>
    <t>blown out for season</t>
  </si>
  <si>
    <t xml:space="preserve">Note: Big storm blew in and </t>
  </si>
  <si>
    <t xml:space="preserve">sampling was over for the year </t>
  </si>
  <si>
    <t xml:space="preserve">  </t>
  </si>
  <si>
    <t>on Oct 12, 2016</t>
  </si>
  <si>
    <t>GREEN NUMBERS INDICATE SPRING CHINOOK</t>
  </si>
  <si>
    <t>Season totals in bold</t>
  </si>
  <si>
    <t>RECOVERY YEAR</t>
  </si>
  <si>
    <t>Spring-run</t>
  </si>
  <si>
    <r>
      <t>3553</t>
    </r>
    <r>
      <rPr>
        <b/>
        <vertAlign val="superscript"/>
        <sz val="10"/>
        <rFont val="Arial"/>
        <family val="2"/>
      </rPr>
      <t>b</t>
    </r>
  </si>
  <si>
    <r>
      <t>1,379</t>
    </r>
    <r>
      <rPr>
        <b/>
        <vertAlign val="superscript"/>
        <sz val="10"/>
        <rFont val="Arial"/>
        <family val="2"/>
      </rPr>
      <t>b</t>
    </r>
  </si>
  <si>
    <r>
      <t>2,908</t>
    </r>
    <r>
      <rPr>
        <b/>
        <vertAlign val="superscript"/>
        <sz val="10"/>
        <rFont val="Arial"/>
        <family val="2"/>
      </rPr>
      <t>b</t>
    </r>
  </si>
  <si>
    <r>
      <t>2,005</t>
    </r>
    <r>
      <rPr>
        <b/>
        <vertAlign val="superscript"/>
        <sz val="10"/>
        <rFont val="Arial"/>
        <family val="2"/>
      </rPr>
      <t>b</t>
    </r>
  </si>
  <si>
    <r>
      <t>6820</t>
    </r>
    <r>
      <rPr>
        <b/>
        <vertAlign val="superscript"/>
        <sz val="10"/>
        <rFont val="Arial"/>
        <family val="2"/>
      </rPr>
      <t>a</t>
    </r>
  </si>
  <si>
    <r>
      <t>2578</t>
    </r>
    <r>
      <rPr>
        <b/>
        <vertAlign val="superscript"/>
        <sz val="8"/>
        <rFont val="Arial"/>
        <family val="2"/>
      </rPr>
      <t>a</t>
    </r>
  </si>
  <si>
    <r>
      <t>1,988</t>
    </r>
    <r>
      <rPr>
        <b/>
        <vertAlign val="superscript"/>
        <sz val="10"/>
        <rFont val="Arial"/>
        <family val="2"/>
      </rPr>
      <t>b</t>
    </r>
  </si>
  <si>
    <r>
      <t>2,107</t>
    </r>
    <r>
      <rPr>
        <b/>
        <vertAlign val="superscript"/>
        <sz val="10"/>
        <rFont val="Arial"/>
        <family val="2"/>
      </rPr>
      <t>b</t>
    </r>
  </si>
  <si>
    <t>Ladder closed for annual spawning break</t>
  </si>
  <si>
    <r>
      <t>4,478</t>
    </r>
    <r>
      <rPr>
        <b/>
        <vertAlign val="superscript"/>
        <sz val="10"/>
        <rFont val="Arial"/>
        <family val="2"/>
      </rPr>
      <t>b</t>
    </r>
  </si>
  <si>
    <r>
      <t xml:space="preserve">1,260 </t>
    </r>
    <r>
      <rPr>
        <b/>
        <vertAlign val="superscript"/>
        <sz val="10"/>
        <rFont val="Arial"/>
        <family val="2"/>
      </rPr>
      <t>b</t>
    </r>
  </si>
  <si>
    <t>Fall-run</t>
  </si>
  <si>
    <t>---</t>
  </si>
  <si>
    <t>Fall run</t>
  </si>
  <si>
    <t>Annual spawning break</t>
  </si>
  <si>
    <r>
      <t>7,196</t>
    </r>
    <r>
      <rPr>
        <b/>
        <vertAlign val="superscript"/>
        <sz val="10"/>
        <rFont val="Arial"/>
        <family val="2"/>
      </rPr>
      <t>c</t>
    </r>
  </si>
  <si>
    <r>
      <t>3,353</t>
    </r>
    <r>
      <rPr>
        <b/>
        <vertAlign val="superscript"/>
        <sz val="10"/>
        <rFont val="Arial"/>
        <family val="2"/>
      </rPr>
      <t>c</t>
    </r>
  </si>
  <si>
    <r>
      <t>1,586</t>
    </r>
    <r>
      <rPr>
        <b/>
        <vertAlign val="superscript"/>
        <sz val="10"/>
        <rFont val="Arial"/>
        <family val="2"/>
      </rPr>
      <t>c</t>
    </r>
  </si>
  <si>
    <r>
      <t>7,306</t>
    </r>
    <r>
      <rPr>
        <b/>
        <vertAlign val="superscript"/>
        <sz val="10"/>
        <rFont val="Arial"/>
        <family val="2"/>
      </rPr>
      <t>c</t>
    </r>
  </si>
  <si>
    <t>b:Spring-run total</t>
  </si>
  <si>
    <t>b:Spring-run Chinook total</t>
  </si>
  <si>
    <t>a: includes 33 chinook cleaned out during spawning break</t>
  </si>
  <si>
    <t>c:Fall-run total</t>
  </si>
  <si>
    <t>c:Fall-run Chinook total</t>
  </si>
  <si>
    <t>* There was no trapping in JW52</t>
  </si>
  <si>
    <t xml:space="preserve">Adults </t>
  </si>
  <si>
    <t>KS clips</t>
  </si>
  <si>
    <t>CO clips</t>
  </si>
  <si>
    <t>SH clips</t>
  </si>
  <si>
    <r>
      <t xml:space="preserve">Ads </t>
    </r>
    <r>
      <rPr>
        <b/>
        <vertAlign val="superscript"/>
        <sz val="10"/>
        <rFont val="Arial"/>
        <family val="2"/>
      </rPr>
      <t>37</t>
    </r>
    <r>
      <rPr>
        <b/>
        <sz val="10"/>
        <rFont val="Arial"/>
        <family val="2"/>
      </rPr>
      <t xml:space="preserve"> </t>
    </r>
  </si>
  <si>
    <t>1/ Summary based on real time unedited data.  Not to be used for analysis.</t>
  </si>
  <si>
    <t>2/  Provisionally, a minimum adult size of 55 cm Fork Length (FL) for spring and fall Chinook and Coho Salmon is used.  Steelhead &lt;42 cm FL are considered half-pounders.</t>
  </si>
  <si>
    <r>
      <t xml:space="preserve">4/  </t>
    </r>
    <r>
      <rPr>
        <b/>
        <sz val="10"/>
        <rFont val="Arial"/>
        <family val="2"/>
      </rPr>
      <t>Totals reflect only the numbers of fish which have been processed; fish held for ripening are not included in totals shown.</t>
    </r>
  </si>
  <si>
    <t>HATCHERY ORIGIN</t>
  </si>
  <si>
    <t>Average/Trapday</t>
  </si>
  <si>
    <t>KS % clip</t>
  </si>
  <si>
    <t>SHD % clip</t>
  </si>
  <si>
    <t>CO % clip</t>
  </si>
  <si>
    <t>Halfpounders</t>
  </si>
  <si>
    <r>
      <t>Ads</t>
    </r>
    <r>
      <rPr>
        <b/>
        <vertAlign val="superscript"/>
        <sz val="10"/>
        <rFont val="Arial"/>
        <family val="2"/>
      </rPr>
      <t>3</t>
    </r>
  </si>
  <si>
    <t>Grand</t>
  </si>
  <si>
    <t>3/  Ads denote adipose fin-clipped fish. Clip counts are a subset of the total shown.</t>
  </si>
  <si>
    <r>
      <t xml:space="preserve">2025 Willow Creek Weir trapping summary. </t>
    </r>
    <r>
      <rPr>
        <b/>
        <vertAlign val="superscript"/>
        <sz val="10"/>
        <rFont val="Arial"/>
        <family val="2"/>
      </rPr>
      <t>1</t>
    </r>
  </si>
  <si>
    <t>2025 Season Totals:</t>
  </si>
  <si>
    <t>Inclusive dates (2025)</t>
  </si>
  <si>
    <t>Willow Creek weir, cumulative weekly trapping totals, 2004-2024.</t>
  </si>
  <si>
    <t>Junction City weir, cumulative weekly trapping totals, 2004-2024.</t>
  </si>
  <si>
    <t>2025/26 Trinity River Hatchery trapping summary</t>
  </si>
  <si>
    <t>Trinity River Hatchery, cumulative weekly trapping totals, 2004-2024.</t>
  </si>
  <si>
    <t>6/ Preliminarily we use a mimimum adult size of 55 cm Fork Length (FL) for Chinook in the Season Totals for 2024 until the analysis has been finalized</t>
  </si>
  <si>
    <t>2025 Spring Chinook subtotal:</t>
  </si>
  <si>
    <t>2025 Fall Chinook subtotal:</t>
  </si>
  <si>
    <r>
      <t>2024 Season Totals</t>
    </r>
    <r>
      <rPr>
        <b/>
        <vertAlign val="superscript"/>
        <sz val="10"/>
        <rFont val="Arial"/>
        <family val="2"/>
      </rPr>
      <t>4,5,6</t>
    </r>
    <r>
      <rPr>
        <b/>
        <sz val="10"/>
        <rFont val="Arial"/>
        <family val="2"/>
      </rPr>
      <t>:</t>
    </r>
  </si>
  <si>
    <t>5/  BY 2019 Chinook were not fin-clipped.</t>
  </si>
  <si>
    <r>
      <t>2023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</si>
  <si>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</si>
  <si>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</si>
  <si>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t>5/ NOTE! BY 2019 Chinook were not fin-clipped.</t>
  </si>
  <si>
    <r>
      <t xml:space="preserve">2024 Season Totals </t>
    </r>
    <r>
      <rPr>
        <b/>
        <vertAlign val="superscript"/>
        <sz val="10"/>
        <rFont val="Arial"/>
        <family val="2"/>
      </rPr>
      <t>4,5,6:</t>
    </r>
  </si>
  <si>
    <r>
      <t xml:space="preserve">2023 Season Totals </t>
    </r>
    <r>
      <rPr>
        <b/>
        <vertAlign val="superscript"/>
        <sz val="10"/>
        <rFont val="Arial"/>
        <family val="2"/>
      </rPr>
      <t>4,5:</t>
    </r>
  </si>
  <si>
    <t xml:space="preserve">5/ Totals are for entire season </t>
  </si>
  <si>
    <t>6/ NOTE! BY 2019 Chinook were not fin-clipped.</t>
  </si>
  <si>
    <t>7/ Preliminarily we use a mimimum adult size of 55 cm Fork Length (FL) for Chinook in the Season Totals for 2024 until the analysis has been finalized</t>
  </si>
  <si>
    <r>
      <t>2024 Season Totals</t>
    </r>
    <r>
      <rPr>
        <b/>
        <vertAlign val="superscript"/>
        <sz val="10"/>
        <rFont val="Arial"/>
        <family val="2"/>
      </rPr>
      <t>5,6,7</t>
    </r>
    <r>
      <rPr>
        <b/>
        <sz val="10"/>
        <rFont val="Arial"/>
        <family val="2"/>
      </rPr>
      <t>:</t>
    </r>
  </si>
  <si>
    <r>
      <t>2023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</si>
  <si>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</si>
  <si>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</si>
  <si>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2020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</si>
  <si>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</si>
  <si>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</si>
  <si>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</si>
  <si>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</si>
  <si>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</si>
  <si>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Adults</t>
    </r>
    <r>
      <rPr>
        <b/>
        <vertAlign val="superscript"/>
        <sz val="10"/>
        <rFont val="Arial"/>
        <family val="2"/>
      </rPr>
      <t xml:space="preserve"> </t>
    </r>
  </si>
  <si>
    <r>
      <t>1,543</t>
    </r>
    <r>
      <rPr>
        <b/>
        <vertAlign val="superscript"/>
        <sz val="10"/>
        <rFont val="Arial"/>
        <family val="2"/>
      </rPr>
      <t>c</t>
    </r>
  </si>
  <si>
    <r>
      <t>5,632</t>
    </r>
    <r>
      <rPr>
        <b/>
        <vertAlign val="superscript"/>
        <sz val="10"/>
        <rFont val="Arial"/>
        <family val="2"/>
      </rPr>
      <t>c</t>
    </r>
  </si>
  <si>
    <r>
      <t>7103</t>
    </r>
    <r>
      <rPr>
        <b/>
        <vertAlign val="superscript"/>
        <sz val="10"/>
        <rFont val="Arial"/>
        <family val="2"/>
      </rPr>
      <t>c</t>
    </r>
  </si>
  <si>
    <r>
      <t>5,958</t>
    </r>
    <r>
      <rPr>
        <b/>
        <vertAlign val="superscript"/>
        <sz val="10"/>
        <rFont val="Arial"/>
        <family val="2"/>
      </rPr>
      <t>c</t>
    </r>
  </si>
  <si>
    <r>
      <t>4,158</t>
    </r>
    <r>
      <rPr>
        <b/>
        <vertAlign val="superscript"/>
        <sz val="10"/>
        <rFont val="Arial"/>
        <family val="2"/>
      </rPr>
      <t>b</t>
    </r>
  </si>
  <si>
    <r>
      <t>4,930</t>
    </r>
    <r>
      <rPr>
        <b/>
        <vertAlign val="superscript"/>
        <sz val="10"/>
        <rFont val="Arial"/>
        <family val="2"/>
      </rPr>
      <t>c</t>
    </r>
  </si>
  <si>
    <r>
      <t>3,610</t>
    </r>
    <r>
      <rPr>
        <b/>
        <vertAlign val="superscript"/>
        <sz val="10"/>
        <rFont val="Arial"/>
        <family val="2"/>
      </rPr>
      <t>b</t>
    </r>
  </si>
  <si>
    <r>
      <t>11,925</t>
    </r>
    <r>
      <rPr>
        <b/>
        <vertAlign val="superscript"/>
        <sz val="10"/>
        <rFont val="Arial"/>
        <family val="2"/>
      </rPr>
      <t>c</t>
    </r>
  </si>
  <si>
    <r>
      <t>1682</t>
    </r>
    <r>
      <rPr>
        <b/>
        <vertAlign val="superscript"/>
        <sz val="10"/>
        <rFont val="Arial"/>
        <family val="2"/>
      </rPr>
      <t>b</t>
    </r>
  </si>
  <si>
    <r>
      <t>4813</t>
    </r>
    <r>
      <rPr>
        <b/>
        <vertAlign val="superscript"/>
        <sz val="10"/>
        <rFont val="Arial"/>
        <family val="2"/>
      </rPr>
      <t>c</t>
    </r>
  </si>
  <si>
    <t>Spawning break week, no trapping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</si>
</sst>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color rgb="FF00B050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98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1" fillId="2" borderId="0" xfId="0" applyFont="1" applyFill="1"/>
    <xf numFmtId="0" fontId="2" fillId="3" borderId="0" xfId="0" applyFont="1" applyFill="1"/>
    <xf numFmtId="164" fontId="2" fillId="0" borderId="0" xfId="3" applyNumberFormat="1" applyFont="1" applyFill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Continuous"/>
    </xf>
    <xf numFmtId="0" fontId="1" fillId="0" borderId="0" xfId="1" applyFont="1" applyAlignment="1">
      <alignment horizontal="centerContinuous"/>
    </xf>
    <xf numFmtId="0" fontId="1" fillId="0" borderId="2" xfId="1" applyFont="1" applyBorder="1" applyAlignment="1">
      <alignment horizontal="centerContinuous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right"/>
    </xf>
    <xf numFmtId="0" fontId="2" fillId="0" borderId="0" xfId="1"/>
    <xf numFmtId="16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164" fontId="2" fillId="0" borderId="0" xfId="1" applyNumberFormat="1" applyAlignment="1">
      <alignment horizontal="center"/>
    </xf>
    <xf numFmtId="0" fontId="2" fillId="0" borderId="0" xfId="1" quotePrefix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1" quotePrefix="1" applyFont="1" applyAlignment="1">
      <alignment horizontal="center"/>
    </xf>
    <xf numFmtId="0" fontId="1" fillId="0" borderId="0" xfId="1" applyFont="1" applyAlignment="1">
      <alignment horizontal="right"/>
    </xf>
    <xf numFmtId="3" fontId="1" fillId="0" borderId="1" xfId="1" applyNumberFormat="1" applyFont="1" applyBorder="1" applyAlignment="1">
      <alignment horizontal="center"/>
    </xf>
    <xf numFmtId="0" fontId="1" fillId="0" borderId="0" xfId="1" applyFont="1" applyAlignment="1">
      <alignment horizontal="left"/>
    </xf>
    <xf numFmtId="37" fontId="1" fillId="0" borderId="0" xfId="2" applyNumberFormat="1" applyFont="1" applyFill="1" applyBorder="1" applyAlignment="1">
      <alignment horizontal="center"/>
    </xf>
    <xf numFmtId="37" fontId="1" fillId="0" borderId="0" xfId="2" applyNumberFormat="1" applyFont="1" applyFill="1" applyAlignment="1">
      <alignment horizontal="center"/>
    </xf>
    <xf numFmtId="37" fontId="2" fillId="0" borderId="0" xfId="2" applyNumberFormat="1" applyFont="1" applyFill="1" applyAlignment="1">
      <alignment horizontal="center"/>
    </xf>
    <xf numFmtId="3" fontId="1" fillId="0" borderId="0" xfId="1" applyNumberFormat="1" applyFont="1" applyAlignment="1">
      <alignment horizontal="center"/>
    </xf>
    <xf numFmtId="3" fontId="2" fillId="0" borderId="0" xfId="1" applyNumberFormat="1" applyAlignment="1">
      <alignment horizontal="center"/>
    </xf>
    <xf numFmtId="0" fontId="7" fillId="0" borderId="0" xfId="1" applyFont="1" applyAlignment="1">
      <alignment horizontal="right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Continuous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0" fillId="0" borderId="0" xfId="0" applyNumberFormat="1"/>
    <xf numFmtId="9" fontId="2" fillId="0" borderId="0" xfId="4" quotePrefix="1" applyFont="1" applyFill="1" applyAlignment="1">
      <alignment horizontal="center"/>
    </xf>
    <xf numFmtId="0" fontId="1" fillId="0" borderId="4" xfId="0" applyFont="1" applyBorder="1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" fontId="1" fillId="0" borderId="0" xfId="0" applyNumberFormat="1" applyFont="1" applyAlignment="1">
      <alignment horizontal="centerContinuous"/>
    </xf>
    <xf numFmtId="165" fontId="2" fillId="0" borderId="0" xfId="5" applyNumberFormat="1" applyFont="1" applyAlignment="1"/>
    <xf numFmtId="3" fontId="0" fillId="0" borderId="0" xfId="5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0" fillId="0" borderId="0" xfId="5" quotePrefix="1" applyNumberFormat="1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3" fontId="0" fillId="0" borderId="0" xfId="0" quotePrefix="1" applyNumberFormat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1" fillId="0" borderId="5" xfId="5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5" xfId="5" applyNumberFormat="1" applyFont="1" applyBorder="1" applyAlignment="1"/>
    <xf numFmtId="165" fontId="1" fillId="0" borderId="1" xfId="5" applyNumberFormat="1" applyFont="1" applyBorder="1" applyAlignme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5" fontId="2" fillId="0" borderId="0" xfId="5" applyNumberFormat="1" applyFont="1" applyAlignment="1">
      <alignment horizontal="center"/>
    </xf>
    <xf numFmtId="165" fontId="11" fillId="0" borderId="0" xfId="5" applyNumberFormat="1" applyFont="1" applyAlignment="1">
      <alignment horizontal="center"/>
    </xf>
    <xf numFmtId="165" fontId="2" fillId="0" borderId="0" xfId="5" applyNumberFormat="1" applyFont="1" applyFill="1" applyAlignment="1">
      <alignment horizontal="center"/>
    </xf>
    <xf numFmtId="165" fontId="2" fillId="0" borderId="0" xfId="5" applyNumberFormat="1" applyFont="1" applyBorder="1" applyAlignment="1">
      <alignment horizontal="center"/>
    </xf>
    <xf numFmtId="165" fontId="0" fillId="0" borderId="0" xfId="5" applyNumberFormat="1" applyFont="1" applyAlignment="1">
      <alignment horizontal="center"/>
    </xf>
    <xf numFmtId="165" fontId="11" fillId="0" borderId="0" xfId="5" applyNumberFormat="1" applyFont="1" applyBorder="1" applyAlignment="1">
      <alignment horizontal="center"/>
    </xf>
    <xf numFmtId="165" fontId="2" fillId="0" borderId="0" xfId="5" quotePrefix="1" applyNumberFormat="1" applyFont="1" applyAlignment="1">
      <alignment horizontal="center"/>
    </xf>
    <xf numFmtId="165" fontId="2" fillId="0" borderId="0" xfId="0" applyNumberFormat="1" applyFont="1"/>
    <xf numFmtId="165" fontId="2" fillId="0" borderId="0" xfId="5" applyNumberFormat="1" applyFont="1" applyAlignment="1">
      <alignment horizontal="right"/>
    </xf>
    <xf numFmtId="165" fontId="1" fillId="0" borderId="5" xfId="5" applyNumberFormat="1" applyFont="1" applyBorder="1" applyAlignment="1">
      <alignment horizontal="center"/>
    </xf>
    <xf numFmtId="165" fontId="1" fillId="0" borderId="0" xfId="5" applyNumberFormat="1" applyFont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165" fontId="2" fillId="0" borderId="0" xfId="5" applyNumberFormat="1" applyFont="1" applyBorder="1" applyAlignment="1">
      <alignment horizontal="left"/>
    </xf>
    <xf numFmtId="165" fontId="1" fillId="0" borderId="1" xfId="5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Continuous"/>
    </xf>
    <xf numFmtId="0" fontId="1" fillId="3" borderId="1" xfId="0" applyFont="1" applyFill="1" applyBorder="1"/>
    <xf numFmtId="0" fontId="1" fillId="0" borderId="3" xfId="0" applyFont="1" applyBorder="1"/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0" xfId="0" applyNumberFormat="1"/>
    <xf numFmtId="3" fontId="0" fillId="0" borderId="0" xfId="5" applyNumberFormat="1" applyFont="1" applyFill="1" applyBorder="1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" fontId="0" fillId="0" borderId="11" xfId="5" applyNumberFormat="1" applyFont="1" applyFill="1" applyBorder="1" applyAlignment="1">
      <alignment horizontal="center"/>
    </xf>
    <xf numFmtId="3" fontId="0" fillId="0" borderId="11" xfId="5" applyNumberFormat="1" applyFont="1" applyBorder="1" applyAlignment="1">
      <alignment horizontal="center"/>
    </xf>
    <xf numFmtId="165" fontId="0" fillId="0" borderId="4" xfId="5" applyNumberFormat="1" applyFont="1" applyBorder="1" applyAlignment="1">
      <alignment horizontal="center"/>
    </xf>
    <xf numFmtId="1" fontId="0" fillId="0" borderId="0" xfId="5" applyNumberFormat="1" applyFont="1" applyBorder="1" applyAlignment="1">
      <alignment horizontal="center"/>
    </xf>
    <xf numFmtId="165" fontId="0" fillId="0" borderId="11" xfId="5" applyNumberFormat="1" applyFont="1" applyBorder="1" applyAlignment="1">
      <alignment horizontal="center"/>
    </xf>
    <xf numFmtId="165" fontId="0" fillId="0" borderId="0" xfId="5" applyNumberFormat="1" applyFont="1" applyFill="1" applyBorder="1" applyAlignment="1">
      <alignment horizontal="center"/>
    </xf>
    <xf numFmtId="3" fontId="0" fillId="0" borderId="0" xfId="5" applyNumberFormat="1" applyFont="1" applyBorder="1" applyAlignment="1">
      <alignment horizontal="center"/>
    </xf>
    <xf numFmtId="1" fontId="0" fillId="0" borderId="11" xfId="5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3" fontId="1" fillId="0" borderId="4" xfId="5" applyNumberFormat="1" applyFont="1" applyBorder="1" applyAlignment="1">
      <alignment horizontal="center"/>
    </xf>
    <xf numFmtId="165" fontId="1" fillId="0" borderId="0" xfId="5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3" fontId="1" fillId="0" borderId="0" xfId="5" applyNumberFormat="1" applyFont="1" applyFill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3" fontId="1" fillId="0" borderId="0" xfId="5" applyNumberFormat="1" applyFont="1" applyBorder="1" applyAlignment="1">
      <alignment horizontal="center"/>
    </xf>
    <xf numFmtId="3" fontId="2" fillId="0" borderId="0" xfId="0" quotePrefix="1" applyNumberFormat="1" applyFont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0" xfId="5" applyNumberFormat="1" applyFont="1" applyBorder="1" applyAlignment="1">
      <alignment horizontal="center"/>
    </xf>
    <xf numFmtId="37" fontId="0" fillId="0" borderId="0" xfId="5" applyNumberFormat="1" applyFont="1" applyAlignment="1">
      <alignment horizontal="center"/>
    </xf>
    <xf numFmtId="37" fontId="0" fillId="0" borderId="0" xfId="5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" fontId="1" fillId="0" borderId="0" xfId="5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1" xfId="0" applyNumberFormat="1" applyBorder="1" applyAlignment="1">
      <alignment horizontal="right"/>
    </xf>
    <xf numFmtId="3" fontId="2" fillId="0" borderId="15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3" fontId="1" fillId="0" borderId="5" xfId="5" applyNumberFormat="1" applyFont="1" applyBorder="1" applyAlignment="1">
      <alignment horizontal="center"/>
    </xf>
    <xf numFmtId="3" fontId="1" fillId="0" borderId="21" xfId="5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right"/>
    </xf>
    <xf numFmtId="165" fontId="1" fillId="0" borderId="1" xfId="5" applyNumberFormat="1" applyFont="1" applyFill="1" applyBorder="1" applyAlignment="1">
      <alignment horizontal="center"/>
    </xf>
    <xf numFmtId="43" fontId="1" fillId="0" borderId="0" xfId="5" applyFont="1" applyBorder="1" applyAlignment="1">
      <alignment horizontal="center"/>
    </xf>
    <xf numFmtId="0" fontId="0" fillId="0" borderId="22" xfId="0" applyBorder="1"/>
    <xf numFmtId="0" fontId="0" fillId="0" borderId="9" xfId="0" applyBorder="1"/>
    <xf numFmtId="0" fontId="0" fillId="0" borderId="3" xfId="0" applyBorder="1"/>
    <xf numFmtId="0" fontId="0" fillId="0" borderId="7" xfId="0" applyBorder="1"/>
    <xf numFmtId="0" fontId="0" fillId="0" borderId="4" xfId="0" applyBorder="1"/>
    <xf numFmtId="165" fontId="0" fillId="0" borderId="4" xfId="5" applyNumberFormat="1" applyFont="1" applyFill="1" applyBorder="1" applyAlignment="1">
      <alignment horizontal="center"/>
    </xf>
    <xf numFmtId="165" fontId="1" fillId="0" borderId="4" xfId="5" applyNumberFormat="1" applyFont="1" applyFill="1" applyBorder="1" applyAlignment="1">
      <alignment horizontal="center"/>
    </xf>
    <xf numFmtId="165" fontId="0" fillId="0" borderId="11" xfId="5" applyNumberFormat="1" applyFont="1" applyFill="1" applyBorder="1" applyAlignment="1">
      <alignment horizontal="center"/>
    </xf>
    <xf numFmtId="165" fontId="1" fillId="0" borderId="12" xfId="5" applyNumberFormat="1" applyFont="1" applyFill="1" applyBorder="1" applyAlignment="1">
      <alignment horizontal="center"/>
    </xf>
    <xf numFmtId="0" fontId="1" fillId="0" borderId="22" xfId="0" applyFont="1" applyBorder="1"/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3" xfId="0" applyBorder="1"/>
    <xf numFmtId="165" fontId="0" fillId="0" borderId="3" xfId="5" applyNumberFormat="1" applyFont="1" applyFill="1" applyBorder="1" applyAlignment="1">
      <alignment horizontal="center"/>
    </xf>
    <xf numFmtId="43" fontId="1" fillId="0" borderId="4" xfId="2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  <xf numFmtId="0" fontId="0" fillId="4" borderId="0" xfId="0" applyFill="1"/>
    <xf numFmtId="41" fontId="0" fillId="0" borderId="0" xfId="0" applyNumberFormat="1" applyAlignment="1">
      <alignment horizontal="center"/>
    </xf>
    <xf numFmtId="41" fontId="1" fillId="0" borderId="0" xfId="0" applyNumberFormat="1" applyFont="1" applyAlignment="1">
      <alignment horizontal="center"/>
    </xf>
    <xf numFmtId="41" fontId="0" fillId="0" borderId="1" xfId="0" applyNumberForma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1" xfId="1" applyBorder="1"/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" fillId="0" borderId="24" xfId="0" applyFont="1" applyBorder="1"/>
    <xf numFmtId="0" fontId="0" fillId="0" borderId="24" xfId="0" applyBorder="1" applyAlignment="1">
      <alignment horizontal="centerContinuous"/>
    </xf>
    <xf numFmtId="3" fontId="1" fillId="0" borderId="24" xfId="0" applyNumberFormat="1" applyFont="1" applyBorder="1" applyAlignment="1">
      <alignment horizontal="centerContinuous"/>
    </xf>
    <xf numFmtId="3" fontId="15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2" xfId="1" applyFont="1" applyBorder="1"/>
    <xf numFmtId="9" fontId="0" fillId="0" borderId="0" xfId="4" applyFont="1" applyFill="1" applyAlignment="1">
      <alignment horizontal="center"/>
    </xf>
    <xf numFmtId="9" fontId="0" fillId="0" borderId="1" xfId="4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0" fillId="0" borderId="0" xfId="5" applyNumberFormat="1" applyFont="1" applyFill="1" applyAlignment="1">
      <alignment horizontal="center"/>
    </xf>
    <xf numFmtId="9" fontId="2" fillId="0" borderId="1" xfId="4" quotePrefix="1" applyFont="1" applyFill="1" applyBorder="1" applyAlignment="1">
      <alignment horizontal="center"/>
    </xf>
    <xf numFmtId="9" fontId="0" fillId="0" borderId="0" xfId="4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5" fontId="0" fillId="0" borderId="1" xfId="5" applyNumberFormat="1" applyFont="1" applyFill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1" xfId="3" applyNumberFormat="1" applyFont="1" applyFill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164" fontId="2" fillId="0" borderId="0" xfId="3" applyNumberFormat="1" applyFont="1" applyAlignment="1">
      <alignment horizontal="center"/>
    </xf>
    <xf numFmtId="164" fontId="2" fillId="0" borderId="1" xfId="3" applyNumberFormat="1" applyFont="1" applyBorder="1" applyAlignment="1">
      <alignment horizontal="center"/>
    </xf>
    <xf numFmtId="1" fontId="2" fillId="0" borderId="0" xfId="1" applyNumberFormat="1" applyAlignment="1">
      <alignment horizontal="center"/>
    </xf>
    <xf numFmtId="1" fontId="2" fillId="0" borderId="1" xfId="1" applyNumberForma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9" fontId="1" fillId="0" borderId="2" xfId="4" applyFont="1" applyFill="1" applyBorder="1" applyAlignment="1">
      <alignment horizontal="center"/>
    </xf>
    <xf numFmtId="9" fontId="1" fillId="0" borderId="2" xfId="4" quotePrefix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5" fontId="1" fillId="0" borderId="11" xfId="5" applyNumberFormat="1" applyFont="1" applyFill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164" fontId="2" fillId="0" borderId="2" xfId="3" applyNumberFormat="1" applyFont="1" applyBorder="1" applyAlignment="1">
      <alignment horizontal="center"/>
    </xf>
    <xf numFmtId="1" fontId="2" fillId="0" borderId="2" xfId="1" applyNumberFormat="1" applyBorder="1" applyAlignment="1">
      <alignment horizontal="center"/>
    </xf>
    <xf numFmtId="0" fontId="1" fillId="0" borderId="1" xfId="1" quotePrefix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right"/>
    </xf>
    <xf numFmtId="165" fontId="1" fillId="0" borderId="1" xfId="2" applyNumberFormat="1" applyFont="1" applyBorder="1" applyAlignment="1">
      <alignment horizontal="center"/>
    </xf>
    <xf numFmtId="9" fontId="1" fillId="0" borderId="1" xfId="4" applyFont="1" applyFill="1" applyBorder="1" applyAlignment="1">
      <alignment horizontal="center"/>
    </xf>
    <xf numFmtId="9" fontId="1" fillId="0" borderId="1" xfId="4" quotePrefix="1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165" fontId="2" fillId="0" borderId="4" xfId="5" applyNumberFormat="1" applyFont="1" applyFill="1" applyBorder="1" applyAlignment="1">
      <alignment horizontal="center"/>
    </xf>
    <xf numFmtId="165" fontId="2" fillId="0" borderId="0" xfId="5" applyNumberFormat="1" applyFont="1" applyFill="1" applyBorder="1" applyAlignment="1">
      <alignment horizontal="center"/>
    </xf>
    <xf numFmtId="43" fontId="1" fillId="0" borderId="0" xfId="2" applyFont="1" applyFill="1" applyBorder="1" applyAlignment="1">
      <alignment horizontal="center"/>
    </xf>
    <xf numFmtId="49" fontId="1" fillId="0" borderId="4" xfId="5" applyNumberFormat="1" applyFont="1" applyFill="1" applyBorder="1" applyAlignment="1">
      <alignment horizontal="center"/>
    </xf>
    <xf numFmtId="49" fontId="1" fillId="0" borderId="0" xfId="5" applyNumberFormat="1" applyFont="1" applyAlignment="1">
      <alignment horizontal="center"/>
    </xf>
    <xf numFmtId="49" fontId="1" fillId="0" borderId="4" xfId="5" applyNumberFormat="1" applyFont="1" applyBorder="1" applyAlignment="1">
      <alignment horizontal="center"/>
    </xf>
    <xf numFmtId="49" fontId="1" fillId="0" borderId="0" xfId="5" applyNumberFormat="1" applyFont="1" applyFill="1" applyBorder="1" applyAlignment="1">
      <alignment horizontal="center"/>
    </xf>
    <xf numFmtId="49" fontId="1" fillId="0" borderId="0" xfId="5" applyNumberFormat="1" applyFont="1" applyBorder="1" applyAlignment="1">
      <alignment horizontal="center"/>
    </xf>
    <xf numFmtId="49" fontId="1" fillId="0" borderId="4" xfId="2" applyNumberFormat="1" applyFont="1" applyFill="1" applyBorder="1" applyAlignment="1">
      <alignment horizontal="center"/>
    </xf>
    <xf numFmtId="165" fontId="0" fillId="0" borderId="4" xfId="5" applyNumberFormat="1" applyFont="1" applyFill="1" applyBorder="1" applyAlignment="1"/>
    <xf numFmtId="37" fontId="0" fillId="0" borderId="0" xfId="5" applyNumberFormat="1" applyFont="1" applyFill="1" applyBorder="1" applyAlignment="1"/>
    <xf numFmtId="165" fontId="0" fillId="0" borderId="0" xfId="5" applyNumberFormat="1" applyFont="1" applyFill="1" applyBorder="1" applyAlignment="1"/>
    <xf numFmtId="49" fontId="1" fillId="0" borderId="4" xfId="5" applyNumberFormat="1" applyFont="1" applyFill="1" applyBorder="1" applyAlignment="1"/>
    <xf numFmtId="37" fontId="0" fillId="0" borderId="0" xfId="5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9" fontId="0" fillId="0" borderId="3" xfId="4" applyFont="1" applyFill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/>
    </xf>
    <xf numFmtId="165" fontId="13" fillId="4" borderId="0" xfId="5" applyNumberFormat="1" applyFont="1" applyFill="1" applyBorder="1" applyAlignment="1">
      <alignment horizontal="center"/>
    </xf>
    <xf numFmtId="165" fontId="13" fillId="4" borderId="11" xfId="5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0" fillId="4" borderId="20" xfId="0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3" fontId="2" fillId="4" borderId="0" xfId="5" applyNumberFormat="1" applyFont="1" applyFill="1" applyBorder="1" applyAlignment="1">
      <alignment horizontal="center"/>
    </xf>
    <xf numFmtId="3" fontId="0" fillId="4" borderId="0" xfId="5" applyNumberFormat="1" applyFont="1" applyFill="1" applyBorder="1" applyAlignment="1">
      <alignment horizontal="center"/>
    </xf>
    <xf numFmtId="3" fontId="0" fillId="4" borderId="11" xfId="5" applyNumberFormat="1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8" xfId="0" applyFont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6">
    <cellStyle name="Comma" xfId="2" builtinId="3"/>
    <cellStyle name="Comma 2" xfId="5" xr:uid="{FEBB59E8-5E66-4947-B113-5B0E651621B4}"/>
    <cellStyle name="Normal" xfId="0" builtinId="0"/>
    <cellStyle name="Normal 2" xfId="1" xr:uid="{00000000-0005-0000-0000-000002000000}"/>
    <cellStyle name="Percent" xfId="3" builtinId="5"/>
    <cellStyle name="Percent 2" xfId="4" xr:uid="{39A36121-FF50-4EFA-9AC0-BEC529DBA89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workbookViewId="0"/>
  </sheetViews>
  <sheetFormatPr defaultRowHeight="12.75" x14ac:dyDescent="0.2"/>
  <sheetData>
    <row r="1" spans="1:15" s="2" customFormat="1" x14ac:dyDescent="0.2">
      <c r="A1" s="3" t="s">
        <v>0</v>
      </c>
    </row>
    <row r="2" spans="1:15" s="2" customFormat="1" x14ac:dyDescent="0.2">
      <c r="A2" s="3" t="s">
        <v>1</v>
      </c>
    </row>
    <row r="3" spans="1:15" s="2" customFormat="1" x14ac:dyDescent="0.2">
      <c r="A3" s="2" t="s">
        <v>2</v>
      </c>
    </row>
    <row r="4" spans="1:15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</row>
    <row r="5" spans="1:15" x14ac:dyDescent="0.2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">
      <c r="A6" s="1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x14ac:dyDescent="0.2">
      <c r="A7" s="2" t="s">
        <v>6</v>
      </c>
    </row>
    <row r="8" spans="1:15" s="2" customFormat="1" x14ac:dyDescent="0.2">
      <c r="A8" s="2" t="s">
        <v>7</v>
      </c>
    </row>
    <row r="9" spans="1:15" s="2" customFormat="1" x14ac:dyDescent="0.2">
      <c r="A9" s="2" t="s">
        <v>8</v>
      </c>
    </row>
    <row r="10" spans="1:15" s="2" customFormat="1" x14ac:dyDescent="0.2">
      <c r="A10" s="2" t="s">
        <v>9</v>
      </c>
    </row>
    <row r="11" spans="1:15" s="2" customFormat="1" x14ac:dyDescent="0.2">
      <c r="A11" s="5" t="s">
        <v>10</v>
      </c>
    </row>
    <row r="12" spans="1:15" s="2" customFormat="1" x14ac:dyDescent="0.2">
      <c r="A12" s="2" t="s">
        <v>11</v>
      </c>
    </row>
    <row r="13" spans="1:15" s="2" customFormat="1" x14ac:dyDescent="0.2">
      <c r="A13" s="2" t="s">
        <v>12</v>
      </c>
    </row>
    <row r="14" spans="1:15" s="2" customFormat="1" x14ac:dyDescent="0.2">
      <c r="A14" s="5" t="s">
        <v>13</v>
      </c>
    </row>
    <row r="15" spans="1:15" s="2" customFormat="1" x14ac:dyDescent="0.2"/>
    <row r="16" spans="1:15" s="2" customFormat="1" x14ac:dyDescent="0.2">
      <c r="A16" s="3" t="s">
        <v>14</v>
      </c>
    </row>
    <row r="17" spans="1:1" s="2" customFormat="1" x14ac:dyDescent="0.2">
      <c r="A17" s="5" t="s">
        <v>15</v>
      </c>
    </row>
    <row r="18" spans="1:1" s="2" customFormat="1" x14ac:dyDescent="0.2">
      <c r="A18" s="2" t="s">
        <v>16</v>
      </c>
    </row>
    <row r="19" spans="1:1" s="2" customFormat="1" x14ac:dyDescent="0.2">
      <c r="A19" s="5" t="s">
        <v>17</v>
      </c>
    </row>
    <row r="20" spans="1:1" s="2" customFormat="1" x14ac:dyDescent="0.2">
      <c r="A20" s="2" t="s">
        <v>18</v>
      </c>
    </row>
    <row r="21" spans="1:1" s="2" customFormat="1" x14ac:dyDescent="0.2">
      <c r="A21" s="5" t="s">
        <v>19</v>
      </c>
    </row>
    <row r="22" spans="1:1" s="2" customFormat="1" x14ac:dyDescent="0.2">
      <c r="A22" s="5" t="s">
        <v>20</v>
      </c>
    </row>
    <row r="23" spans="1:1" s="2" customFormat="1" x14ac:dyDescent="0.2"/>
    <row r="24" spans="1:1" s="2" customFormat="1" x14ac:dyDescent="0.2">
      <c r="A24" s="3" t="s">
        <v>21</v>
      </c>
    </row>
    <row r="25" spans="1:1" s="2" customFormat="1" x14ac:dyDescent="0.2">
      <c r="A25" s="5" t="s">
        <v>22</v>
      </c>
    </row>
    <row r="26" spans="1:1" s="2" customFormat="1" x14ac:dyDescent="0.2">
      <c r="A26" s="2" t="s">
        <v>23</v>
      </c>
    </row>
    <row r="27" spans="1:1" s="2" customFormat="1" x14ac:dyDescent="0.2">
      <c r="A27" s="5" t="s">
        <v>24</v>
      </c>
    </row>
    <row r="28" spans="1:1" s="2" customFormat="1" x14ac:dyDescent="0.2">
      <c r="A28" s="2" t="s">
        <v>25</v>
      </c>
    </row>
    <row r="29" spans="1:1" s="2" customFormat="1" x14ac:dyDescent="0.2"/>
    <row r="30" spans="1:1" s="2" customFormat="1" x14ac:dyDescent="0.2">
      <c r="A30" s="3" t="s">
        <v>26</v>
      </c>
    </row>
    <row r="31" spans="1:1" s="2" customFormat="1" x14ac:dyDescent="0.2">
      <c r="A31" s="2" t="s">
        <v>27</v>
      </c>
    </row>
    <row r="32" spans="1:1" s="2" customFormat="1" x14ac:dyDescent="0.2">
      <c r="A32" s="2" t="s">
        <v>28</v>
      </c>
    </row>
    <row r="33" spans="1:1" s="2" customFormat="1" x14ac:dyDescent="0.2">
      <c r="A33" s="2" t="s">
        <v>29</v>
      </c>
    </row>
    <row r="34" spans="1:1" s="2" customFormat="1" x14ac:dyDescent="0.2">
      <c r="A34" s="5" t="s">
        <v>30</v>
      </c>
    </row>
    <row r="35" spans="1:1" s="2" customFormat="1" x14ac:dyDescent="0.2">
      <c r="A35" s="2" t="s">
        <v>31</v>
      </c>
    </row>
    <row r="36" spans="1:1" s="2" customFormat="1" x14ac:dyDescent="0.2"/>
  </sheetData>
  <printOptions horizontalCentered="1"/>
  <pageMargins left="0.25" right="0.25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57"/>
  <sheetViews>
    <sheetView topLeftCell="A16" workbookViewId="0">
      <selection activeCell="Q31" sqref="Q31"/>
    </sheetView>
  </sheetViews>
  <sheetFormatPr defaultColWidth="8.7109375" defaultRowHeight="12.75" x14ac:dyDescent="0.2"/>
  <cols>
    <col min="1" max="1" width="6" style="7" customWidth="1"/>
    <col min="2" max="2" width="2.28515625" style="15" customWidth="1"/>
    <col min="3" max="3" width="7.42578125" style="15" customWidth="1"/>
    <col min="4" max="4" width="2.5703125" style="15" customWidth="1"/>
    <col min="5" max="5" width="7" style="15" customWidth="1"/>
    <col min="6" max="6" width="2.5703125" style="15" customWidth="1"/>
    <col min="7" max="7" width="5.7109375" style="15" customWidth="1"/>
    <col min="8" max="8" width="2.5703125" style="15" customWidth="1"/>
    <col min="9" max="9" width="6.7109375" style="15" customWidth="1"/>
    <col min="10" max="10" width="6" style="15" customWidth="1"/>
    <col min="11" max="11" width="6.7109375" style="15" customWidth="1"/>
    <col min="12" max="12" width="5.5703125" style="15" customWidth="1"/>
    <col min="13" max="13" width="6.7109375" style="15" customWidth="1"/>
    <col min="14" max="14" width="5.5703125" style="15" customWidth="1"/>
    <col min="15" max="15" width="2.5703125" style="15" customWidth="1"/>
    <col min="16" max="21" width="5.7109375" style="15" customWidth="1"/>
    <col min="22" max="22" width="2.7109375" style="15" customWidth="1"/>
    <col min="23" max="23" width="6.7109375" style="15" customWidth="1"/>
    <col min="24" max="24" width="5.7109375" style="15" customWidth="1"/>
    <col min="25" max="25" width="6.7109375" style="15" customWidth="1"/>
    <col min="26" max="26" width="5.5703125" style="15" customWidth="1"/>
    <col min="27" max="27" width="6.7109375" style="15" customWidth="1"/>
    <col min="28" max="28" width="5.5703125" style="15" customWidth="1"/>
    <col min="29" max="29" width="2.28515625" style="15" customWidth="1"/>
    <col min="30" max="30" width="6.5703125" style="15" customWidth="1"/>
    <col min="31" max="31" width="8.28515625" style="15" customWidth="1"/>
    <col min="32" max="32" width="7.42578125" style="15" customWidth="1"/>
    <col min="33" max="33" width="3.5703125" style="15" customWidth="1"/>
    <col min="34" max="34" width="9.42578125" style="17" bestFit="1" customWidth="1"/>
    <col min="35" max="35" width="5.28515625" style="15" customWidth="1"/>
    <col min="36" max="36" width="3.42578125" style="15" customWidth="1"/>
    <col min="37" max="38" width="9.7109375" style="15" customWidth="1"/>
    <col min="39" max="39" width="10.7109375" style="15" bestFit="1" customWidth="1"/>
    <col min="40" max="40" width="8.7109375" style="17"/>
    <col min="41" max="16384" width="8.7109375" style="15"/>
  </cols>
  <sheetData>
    <row r="1" spans="1:40" s="7" customFormat="1" ht="14.25" x14ac:dyDescent="0.2">
      <c r="A1" s="7" t="s">
        <v>32</v>
      </c>
      <c r="AH1" s="8"/>
      <c r="AN1" s="8"/>
    </row>
    <row r="2" spans="1:40" s="7" customFormat="1" x14ac:dyDescent="0.2">
      <c r="A2" s="7" t="s">
        <v>33</v>
      </c>
      <c r="I2" s="9" t="s">
        <v>34</v>
      </c>
      <c r="J2" s="9"/>
      <c r="K2" s="9"/>
      <c r="L2" s="9"/>
      <c r="M2" s="9"/>
      <c r="N2" s="9"/>
      <c r="O2" s="10"/>
      <c r="P2" s="9" t="s">
        <v>35</v>
      </c>
      <c r="Q2" s="9"/>
      <c r="R2" s="9"/>
      <c r="S2" s="9"/>
      <c r="T2" s="9"/>
      <c r="U2" s="9"/>
      <c r="W2" s="9" t="s">
        <v>36</v>
      </c>
      <c r="X2" s="9"/>
      <c r="Y2" s="9"/>
      <c r="Z2" s="9"/>
      <c r="AA2" s="9"/>
      <c r="AB2" s="9"/>
      <c r="AD2" s="260" t="s">
        <v>37</v>
      </c>
      <c r="AE2" s="260"/>
      <c r="AF2" s="260"/>
      <c r="AH2" s="8"/>
      <c r="AN2" s="8"/>
    </row>
    <row r="3" spans="1:40" s="7" customFormat="1" ht="14.25" x14ac:dyDescent="0.2">
      <c r="A3" s="7" t="s">
        <v>38</v>
      </c>
      <c r="G3" s="8" t="s">
        <v>39</v>
      </c>
      <c r="I3" s="11" t="s">
        <v>40</v>
      </c>
      <c r="J3" s="11"/>
      <c r="K3" s="263" t="s">
        <v>167</v>
      </c>
      <c r="L3" s="264"/>
      <c r="M3" s="11" t="s">
        <v>41</v>
      </c>
      <c r="N3" s="11"/>
      <c r="P3" s="11" t="s">
        <v>40</v>
      </c>
      <c r="Q3" s="11"/>
      <c r="R3" s="11" t="s">
        <v>42</v>
      </c>
      <c r="S3" s="11"/>
      <c r="T3" s="11" t="s">
        <v>41</v>
      </c>
      <c r="U3" s="11"/>
      <c r="W3" s="11" t="s">
        <v>43</v>
      </c>
      <c r="X3" s="11"/>
      <c r="Y3" s="11" t="s">
        <v>42</v>
      </c>
      <c r="Z3" s="11"/>
      <c r="AA3" s="11" t="s">
        <v>41</v>
      </c>
      <c r="AB3" s="11"/>
      <c r="AD3" s="261"/>
      <c r="AE3" s="261"/>
      <c r="AF3" s="261"/>
      <c r="AH3" s="8"/>
      <c r="AK3" s="265" t="s">
        <v>127</v>
      </c>
      <c r="AL3" s="265"/>
      <c r="AM3" s="265"/>
      <c r="AN3" s="266" t="s">
        <v>128</v>
      </c>
    </row>
    <row r="4" spans="1:40" s="7" customFormat="1" ht="14.25" x14ac:dyDescent="0.2">
      <c r="A4" s="12" t="s">
        <v>44</v>
      </c>
      <c r="B4" s="12"/>
      <c r="C4" s="9" t="s">
        <v>138</v>
      </c>
      <c r="D4" s="9"/>
      <c r="E4" s="9"/>
      <c r="F4" s="12"/>
      <c r="G4" s="13" t="s">
        <v>45</v>
      </c>
      <c r="H4" s="13"/>
      <c r="I4" s="13" t="s">
        <v>46</v>
      </c>
      <c r="J4" s="13" t="s">
        <v>47</v>
      </c>
      <c r="K4" s="13" t="s">
        <v>46</v>
      </c>
      <c r="L4" s="13" t="s">
        <v>47</v>
      </c>
      <c r="M4" s="13" t="s">
        <v>46</v>
      </c>
      <c r="N4" s="13" t="s">
        <v>47</v>
      </c>
      <c r="O4" s="13"/>
      <c r="P4" s="13" t="s">
        <v>46</v>
      </c>
      <c r="Q4" s="13" t="s">
        <v>48</v>
      </c>
      <c r="R4" s="13" t="s">
        <v>46</v>
      </c>
      <c r="S4" s="13" t="s">
        <v>48</v>
      </c>
      <c r="T4" s="13" t="s">
        <v>46</v>
      </c>
      <c r="U4" s="13" t="s">
        <v>48</v>
      </c>
      <c r="V4" s="13"/>
      <c r="W4" s="13" t="s">
        <v>46</v>
      </c>
      <c r="X4" s="13" t="s">
        <v>47</v>
      </c>
      <c r="Y4" s="13" t="s">
        <v>46</v>
      </c>
      <c r="Z4" s="13" t="s">
        <v>47</v>
      </c>
      <c r="AA4" s="13" t="s">
        <v>46</v>
      </c>
      <c r="AB4" s="13" t="s">
        <v>47</v>
      </c>
      <c r="AC4" s="13"/>
      <c r="AD4" s="13" t="s">
        <v>49</v>
      </c>
      <c r="AE4" s="13" t="s">
        <v>50</v>
      </c>
      <c r="AF4" s="32" t="s">
        <v>46</v>
      </c>
      <c r="AG4" s="12"/>
      <c r="AH4" s="13" t="s">
        <v>51</v>
      </c>
      <c r="AI4" s="14" t="s">
        <v>52</v>
      </c>
      <c r="AK4" s="13" t="s">
        <v>129</v>
      </c>
      <c r="AL4" s="13" t="s">
        <v>131</v>
      </c>
      <c r="AM4" s="13" t="s">
        <v>130</v>
      </c>
      <c r="AN4" s="267"/>
    </row>
    <row r="5" spans="1:40" ht="0.75" customHeight="1" x14ac:dyDescent="0.2">
      <c r="A5" s="8">
        <v>22</v>
      </c>
      <c r="C5" s="16">
        <v>45805</v>
      </c>
      <c r="D5" s="17" t="s">
        <v>53</v>
      </c>
      <c r="E5" s="16">
        <f t="shared" ref="E5:E21" si="0">C5+6</f>
        <v>45811</v>
      </c>
      <c r="G5" s="17"/>
      <c r="H5" s="17"/>
      <c r="I5" s="17"/>
      <c r="J5" s="17"/>
      <c r="K5" s="17"/>
      <c r="L5" s="17"/>
      <c r="M5" s="17">
        <f t="shared" ref="M5" si="1">K5+I5</f>
        <v>0</v>
      </c>
      <c r="N5" s="17">
        <f t="shared" ref="N5" si="2">L5+J5</f>
        <v>0</v>
      </c>
      <c r="O5" s="17"/>
      <c r="P5" s="17"/>
      <c r="Q5" s="17"/>
      <c r="R5" s="17"/>
      <c r="S5" s="17"/>
      <c r="T5" s="17">
        <f t="shared" ref="T5" si="3">P5+R5</f>
        <v>0</v>
      </c>
      <c r="U5" s="17">
        <f t="shared" ref="U5" si="4">Q5+S5</f>
        <v>0</v>
      </c>
      <c r="V5" s="17"/>
      <c r="W5" s="17"/>
      <c r="X5" s="17"/>
      <c r="Y5" s="17"/>
      <c r="Z5" s="17"/>
      <c r="AA5" s="17">
        <f t="shared" ref="AA5:AA33" si="5">Y5+W5</f>
        <v>0</v>
      </c>
      <c r="AB5" s="17">
        <f t="shared" ref="AB5:AB33" si="6">Z5+X5</f>
        <v>0</v>
      </c>
      <c r="AC5" s="17"/>
      <c r="AD5" s="17"/>
      <c r="AE5" s="17"/>
      <c r="AF5" s="17">
        <f t="shared" ref="AF5" si="7">SUM(AD5:AE5)</f>
        <v>0</v>
      </c>
      <c r="AH5" s="17">
        <f>AF5+AA5+T5+M5</f>
        <v>0</v>
      </c>
      <c r="AI5" s="15">
        <v>22</v>
      </c>
      <c r="AK5" s="6" t="e">
        <f>N5/M5</f>
        <v>#DIV/0!</v>
      </c>
      <c r="AL5" s="18" t="e">
        <f>U5/T5</f>
        <v>#DIV/0!</v>
      </c>
      <c r="AM5" s="18" t="e">
        <f>AB5/AA5</f>
        <v>#DIV/0!</v>
      </c>
      <c r="AN5" s="218" t="str">
        <f t="shared" ref="AN5:AN10" si="8">IFERROR(AH5/G5,"-")</f>
        <v>-</v>
      </c>
    </row>
    <row r="6" spans="1:40" hidden="1" x14ac:dyDescent="0.2">
      <c r="A6" s="8">
        <v>23</v>
      </c>
      <c r="C6" s="16">
        <f t="shared" ref="C6:C33" si="9">C5+7</f>
        <v>45812</v>
      </c>
      <c r="D6" s="17" t="s">
        <v>53</v>
      </c>
      <c r="E6" s="16">
        <f t="shared" si="0"/>
        <v>45818</v>
      </c>
      <c r="G6" s="17"/>
      <c r="H6" s="17"/>
      <c r="I6" s="17"/>
      <c r="J6" s="17"/>
      <c r="K6" s="17"/>
      <c r="L6" s="17"/>
      <c r="M6" s="8">
        <f t="shared" ref="M6:M33" si="10">K6+I6</f>
        <v>0</v>
      </c>
      <c r="N6" s="8">
        <f t="shared" ref="N6:N33" si="11">L6+J6</f>
        <v>0</v>
      </c>
      <c r="O6" s="17"/>
      <c r="P6" s="17"/>
      <c r="Q6" s="17"/>
      <c r="R6" s="17"/>
      <c r="S6" s="17"/>
      <c r="T6" s="8">
        <v>0</v>
      </c>
      <c r="U6" s="8">
        <f t="shared" ref="U6:U33" si="12">Q6+S6</f>
        <v>0</v>
      </c>
      <c r="V6" s="17"/>
      <c r="W6" s="17"/>
      <c r="X6" s="17"/>
      <c r="Y6" s="17"/>
      <c r="Z6" s="17"/>
      <c r="AA6" s="8">
        <f t="shared" si="5"/>
        <v>0</v>
      </c>
      <c r="AB6" s="8">
        <f t="shared" si="6"/>
        <v>0</v>
      </c>
      <c r="AC6" s="17"/>
      <c r="AD6" s="17"/>
      <c r="AE6" s="17"/>
      <c r="AF6" s="8">
        <f t="shared" ref="AF6:AF33" si="13">SUM(AD6:AE6)</f>
        <v>0</v>
      </c>
      <c r="AH6" s="17">
        <f t="shared" ref="AH6:AH33" si="14">AF6+AA6+T6+M6</f>
        <v>0</v>
      </c>
      <c r="AI6" s="15">
        <v>23</v>
      </c>
      <c r="AK6" s="6" t="e">
        <f t="shared" ref="AK6:AK7" si="15">N6/M6</f>
        <v>#DIV/0!</v>
      </c>
      <c r="AL6" s="18" t="e">
        <f t="shared" ref="AL6:AL7" si="16">U6/T6</f>
        <v>#DIV/0!</v>
      </c>
      <c r="AM6" s="18" t="e">
        <f t="shared" ref="AM6:AM7" si="17">AB6/AA6</f>
        <v>#DIV/0!</v>
      </c>
      <c r="AN6" s="218" t="str">
        <f t="shared" si="8"/>
        <v>-</v>
      </c>
    </row>
    <row r="7" spans="1:40" hidden="1" x14ac:dyDescent="0.2">
      <c r="A7" s="8">
        <v>24</v>
      </c>
      <c r="C7" s="16">
        <f t="shared" si="9"/>
        <v>45819</v>
      </c>
      <c r="D7" s="17" t="s">
        <v>53</v>
      </c>
      <c r="E7" s="16">
        <f t="shared" si="0"/>
        <v>45825</v>
      </c>
      <c r="G7" s="17"/>
      <c r="H7" s="17"/>
      <c r="I7" s="17"/>
      <c r="J7" s="17"/>
      <c r="K7" s="17"/>
      <c r="L7" s="17"/>
      <c r="M7" s="8">
        <f>K7+I7</f>
        <v>0</v>
      </c>
      <c r="N7" s="8">
        <v>0</v>
      </c>
      <c r="O7" s="17"/>
      <c r="P7" s="17"/>
      <c r="Q7" s="17"/>
      <c r="R7" s="17"/>
      <c r="S7" s="17"/>
      <c r="T7" s="8">
        <v>0</v>
      </c>
      <c r="U7" s="8">
        <v>0</v>
      </c>
      <c r="V7" s="17"/>
      <c r="W7" s="17"/>
      <c r="X7" s="17"/>
      <c r="Y7" s="17"/>
      <c r="Z7" s="17"/>
      <c r="AA7" s="8">
        <v>0</v>
      </c>
      <c r="AB7" s="8">
        <v>0</v>
      </c>
      <c r="AC7" s="17"/>
      <c r="AD7" s="17"/>
      <c r="AE7" s="17"/>
      <c r="AF7" s="8">
        <f>AD7+AE7</f>
        <v>0</v>
      </c>
      <c r="AH7" s="17">
        <f>AF7+AA7+T7+M7</f>
        <v>0</v>
      </c>
      <c r="AI7" s="15">
        <v>24</v>
      </c>
      <c r="AK7" s="6" t="e">
        <f t="shared" si="15"/>
        <v>#DIV/0!</v>
      </c>
      <c r="AL7" s="18" t="e">
        <f t="shared" si="16"/>
        <v>#DIV/0!</v>
      </c>
      <c r="AM7" s="18" t="e">
        <f t="shared" si="17"/>
        <v>#DIV/0!</v>
      </c>
      <c r="AN7" s="218" t="str">
        <f t="shared" si="8"/>
        <v>-</v>
      </c>
    </row>
    <row r="8" spans="1:40" hidden="1" x14ac:dyDescent="0.2">
      <c r="A8" s="8">
        <v>25</v>
      </c>
      <c r="C8" s="16">
        <f t="shared" si="9"/>
        <v>45826</v>
      </c>
      <c r="D8" s="17" t="s">
        <v>53</v>
      </c>
      <c r="E8" s="16">
        <f t="shared" si="0"/>
        <v>45832</v>
      </c>
      <c r="G8" s="17"/>
      <c r="H8" s="17"/>
      <c r="I8" s="17"/>
      <c r="J8" s="17"/>
      <c r="K8" s="17"/>
      <c r="L8" s="17"/>
      <c r="M8" s="8">
        <f>K8+I8</f>
        <v>0</v>
      </c>
      <c r="N8" s="8">
        <f t="shared" si="11"/>
        <v>0</v>
      </c>
      <c r="O8" s="17"/>
      <c r="P8" s="17"/>
      <c r="Q8" s="17"/>
      <c r="R8" s="17"/>
      <c r="S8" s="17"/>
      <c r="T8" s="8">
        <f t="shared" ref="T8:T33" si="18">P8+R8</f>
        <v>0</v>
      </c>
      <c r="U8" s="8">
        <f t="shared" si="12"/>
        <v>0</v>
      </c>
      <c r="V8" s="17"/>
      <c r="W8" s="17"/>
      <c r="X8" s="17"/>
      <c r="Y8" s="17"/>
      <c r="Z8" s="17"/>
      <c r="AA8" s="8">
        <f t="shared" si="5"/>
        <v>0</v>
      </c>
      <c r="AB8" s="8">
        <f t="shared" si="6"/>
        <v>0</v>
      </c>
      <c r="AC8" s="17"/>
      <c r="AD8" s="17"/>
      <c r="AE8" s="17"/>
      <c r="AF8" s="8">
        <f t="shared" si="13"/>
        <v>0</v>
      </c>
      <c r="AH8" s="17">
        <f t="shared" si="14"/>
        <v>0</v>
      </c>
      <c r="AI8" s="15">
        <v>25</v>
      </c>
      <c r="AK8" s="6" t="str">
        <f t="shared" ref="AK8:AK10" si="19">IFERROR(N8/M8,"-")</f>
        <v>-</v>
      </c>
      <c r="AL8" s="18" t="str">
        <f t="shared" ref="AL8:AL10" si="20">IFERROR(U8/T8,"-")</f>
        <v>-</v>
      </c>
      <c r="AM8" s="18" t="str">
        <f t="shared" ref="AM8:AM10" si="21">IFERROR(AB8/AA8,"-")</f>
        <v>-</v>
      </c>
      <c r="AN8" s="218" t="str">
        <f t="shared" si="8"/>
        <v>-</v>
      </c>
    </row>
    <row r="9" spans="1:40" x14ac:dyDescent="0.2">
      <c r="A9" s="17">
        <v>26</v>
      </c>
      <c r="C9" s="16">
        <f t="shared" si="9"/>
        <v>45833</v>
      </c>
      <c r="D9" s="17" t="s">
        <v>53</v>
      </c>
      <c r="E9" s="16">
        <f t="shared" si="0"/>
        <v>45839</v>
      </c>
      <c r="G9" s="17">
        <v>5</v>
      </c>
      <c r="H9" s="17"/>
      <c r="I9" s="17">
        <v>10</v>
      </c>
      <c r="J9" s="17">
        <v>1</v>
      </c>
      <c r="K9" s="17">
        <v>74</v>
      </c>
      <c r="L9" s="17">
        <v>13</v>
      </c>
      <c r="M9" s="8">
        <f t="shared" si="10"/>
        <v>84</v>
      </c>
      <c r="N9" s="8">
        <f t="shared" si="11"/>
        <v>14</v>
      </c>
      <c r="O9" s="17"/>
      <c r="P9" s="17">
        <v>0</v>
      </c>
      <c r="Q9" s="17">
        <v>0</v>
      </c>
      <c r="R9" s="17">
        <v>0</v>
      </c>
      <c r="S9" s="17">
        <v>0</v>
      </c>
      <c r="T9" s="8">
        <f t="shared" si="18"/>
        <v>0</v>
      </c>
      <c r="U9" s="8">
        <f t="shared" si="12"/>
        <v>0</v>
      </c>
      <c r="V9" s="17"/>
      <c r="W9" s="17">
        <v>3</v>
      </c>
      <c r="X9" s="17">
        <v>1</v>
      </c>
      <c r="Y9" s="17">
        <v>34</v>
      </c>
      <c r="Z9" s="17">
        <v>1</v>
      </c>
      <c r="AA9" s="8">
        <f t="shared" si="5"/>
        <v>37</v>
      </c>
      <c r="AB9" s="8">
        <f t="shared" si="6"/>
        <v>2</v>
      </c>
      <c r="AC9" s="17"/>
      <c r="AD9" s="17">
        <v>4</v>
      </c>
      <c r="AE9" s="17">
        <v>14</v>
      </c>
      <c r="AF9" s="8">
        <f t="shared" si="13"/>
        <v>18</v>
      </c>
      <c r="AH9" s="17">
        <f t="shared" si="14"/>
        <v>139</v>
      </c>
      <c r="AI9" s="15">
        <v>26</v>
      </c>
      <c r="AK9" s="6">
        <f t="shared" si="19"/>
        <v>0.16666666666666666</v>
      </c>
      <c r="AL9" s="18" t="str">
        <f t="shared" si="20"/>
        <v>-</v>
      </c>
      <c r="AM9" s="18">
        <f t="shared" si="21"/>
        <v>5.4054054054054057E-2</v>
      </c>
      <c r="AN9" s="218">
        <f t="shared" si="8"/>
        <v>27.8</v>
      </c>
    </row>
    <row r="10" spans="1:40" x14ac:dyDescent="0.2">
      <c r="A10" s="17">
        <v>27</v>
      </c>
      <c r="C10" s="16">
        <f t="shared" si="9"/>
        <v>45840</v>
      </c>
      <c r="D10" s="17" t="s">
        <v>53</v>
      </c>
      <c r="E10" s="16">
        <f t="shared" si="0"/>
        <v>45846</v>
      </c>
      <c r="G10" s="17">
        <v>5</v>
      </c>
      <c r="H10" s="17"/>
      <c r="I10" s="17">
        <v>18</v>
      </c>
      <c r="J10" s="17">
        <v>2</v>
      </c>
      <c r="K10" s="17">
        <v>112</v>
      </c>
      <c r="L10" s="17">
        <v>24</v>
      </c>
      <c r="M10" s="8">
        <f t="shared" si="10"/>
        <v>130</v>
      </c>
      <c r="N10" s="8">
        <f t="shared" si="11"/>
        <v>26</v>
      </c>
      <c r="O10" s="17"/>
      <c r="P10" s="17">
        <v>0</v>
      </c>
      <c r="Q10" s="17">
        <v>0</v>
      </c>
      <c r="R10" s="17">
        <v>0</v>
      </c>
      <c r="S10" s="17">
        <v>0</v>
      </c>
      <c r="T10" s="8">
        <f t="shared" si="18"/>
        <v>0</v>
      </c>
      <c r="U10" s="8">
        <f t="shared" si="12"/>
        <v>0</v>
      </c>
      <c r="V10" s="17"/>
      <c r="W10" s="17">
        <v>1</v>
      </c>
      <c r="X10" s="17">
        <v>0</v>
      </c>
      <c r="Y10" s="17">
        <v>68</v>
      </c>
      <c r="Z10" s="17">
        <v>17</v>
      </c>
      <c r="AA10" s="8">
        <f t="shared" si="5"/>
        <v>69</v>
      </c>
      <c r="AB10" s="8">
        <f t="shared" si="6"/>
        <v>17</v>
      </c>
      <c r="AC10" s="17"/>
      <c r="AD10" s="17">
        <v>2</v>
      </c>
      <c r="AE10" s="17">
        <v>1</v>
      </c>
      <c r="AF10" s="8">
        <f t="shared" si="13"/>
        <v>3</v>
      </c>
      <c r="AH10" s="17">
        <f t="shared" si="14"/>
        <v>202</v>
      </c>
      <c r="AI10" s="15">
        <v>27</v>
      </c>
      <c r="AK10" s="6">
        <f t="shared" si="19"/>
        <v>0.2</v>
      </c>
      <c r="AL10" s="18" t="str">
        <f t="shared" si="20"/>
        <v>-</v>
      </c>
      <c r="AM10" s="18">
        <f t="shared" si="21"/>
        <v>0.24637681159420291</v>
      </c>
      <c r="AN10" s="218">
        <f t="shared" si="8"/>
        <v>40.4</v>
      </c>
    </row>
    <row r="11" spans="1:40" x14ac:dyDescent="0.2">
      <c r="A11" s="17">
        <v>28</v>
      </c>
      <c r="C11" s="16">
        <f t="shared" si="9"/>
        <v>45847</v>
      </c>
      <c r="D11" s="17" t="s">
        <v>53</v>
      </c>
      <c r="E11" s="16">
        <f t="shared" si="0"/>
        <v>45853</v>
      </c>
      <c r="G11" s="17">
        <v>5</v>
      </c>
      <c r="H11" s="17"/>
      <c r="I11" s="17">
        <v>15</v>
      </c>
      <c r="J11" s="17">
        <v>4</v>
      </c>
      <c r="K11" s="17">
        <v>23</v>
      </c>
      <c r="L11" s="17">
        <v>7</v>
      </c>
      <c r="M11" s="8">
        <f t="shared" si="10"/>
        <v>38</v>
      </c>
      <c r="N11" s="8">
        <f t="shared" si="11"/>
        <v>11</v>
      </c>
      <c r="O11" s="17"/>
      <c r="P11" s="17">
        <v>0</v>
      </c>
      <c r="Q11" s="17">
        <v>0</v>
      </c>
      <c r="R11" s="17">
        <v>0</v>
      </c>
      <c r="S11" s="17">
        <v>0</v>
      </c>
      <c r="T11" s="8">
        <f t="shared" si="18"/>
        <v>0</v>
      </c>
      <c r="U11" s="8">
        <f t="shared" si="12"/>
        <v>0</v>
      </c>
      <c r="V11" s="17"/>
      <c r="W11" s="17">
        <v>1</v>
      </c>
      <c r="X11" s="17">
        <v>0</v>
      </c>
      <c r="Y11" s="17">
        <v>17</v>
      </c>
      <c r="Z11" s="17">
        <v>4</v>
      </c>
      <c r="AA11" s="8">
        <f t="shared" si="5"/>
        <v>18</v>
      </c>
      <c r="AB11" s="8">
        <f t="shared" si="6"/>
        <v>4</v>
      </c>
      <c r="AC11" s="17"/>
      <c r="AD11" s="17">
        <v>0</v>
      </c>
      <c r="AE11" s="17">
        <v>7</v>
      </c>
      <c r="AF11" s="8">
        <f t="shared" si="13"/>
        <v>7</v>
      </c>
      <c r="AH11" s="17">
        <f t="shared" si="14"/>
        <v>63</v>
      </c>
      <c r="AI11" s="15">
        <v>28</v>
      </c>
      <c r="AK11" s="6">
        <f>IFERROR(N11/M11,"-")</f>
        <v>0.28947368421052633</v>
      </c>
      <c r="AL11" s="18" t="str">
        <f>IFERROR(U11/T11,"-")</f>
        <v>-</v>
      </c>
      <c r="AM11" s="18">
        <f>IFERROR(AB11/AA11,"-")</f>
        <v>0.22222222222222221</v>
      </c>
      <c r="AN11" s="218">
        <f>IFERROR(AH11/G11,"-")</f>
        <v>12.6</v>
      </c>
    </row>
    <row r="12" spans="1:40" s="7" customFormat="1" x14ac:dyDescent="0.2">
      <c r="A12" s="17">
        <v>29</v>
      </c>
      <c r="C12" s="16">
        <f t="shared" si="9"/>
        <v>45854</v>
      </c>
      <c r="D12" s="17"/>
      <c r="E12" s="16">
        <f t="shared" si="0"/>
        <v>45860</v>
      </c>
      <c r="G12" s="17">
        <v>5</v>
      </c>
      <c r="H12" s="17"/>
      <c r="I12" s="17">
        <v>36</v>
      </c>
      <c r="J12" s="17">
        <v>6</v>
      </c>
      <c r="K12" s="17">
        <v>45</v>
      </c>
      <c r="L12" s="17">
        <v>9</v>
      </c>
      <c r="M12" s="8">
        <f t="shared" si="10"/>
        <v>81</v>
      </c>
      <c r="N12" s="8">
        <f t="shared" si="11"/>
        <v>15</v>
      </c>
      <c r="O12" s="8"/>
      <c r="P12" s="17">
        <v>0</v>
      </c>
      <c r="Q12" s="17">
        <v>0</v>
      </c>
      <c r="R12" s="17">
        <v>0</v>
      </c>
      <c r="S12" s="17">
        <v>0</v>
      </c>
      <c r="T12" s="8">
        <f t="shared" si="18"/>
        <v>0</v>
      </c>
      <c r="U12" s="8">
        <f t="shared" si="12"/>
        <v>0</v>
      </c>
      <c r="V12" s="8"/>
      <c r="W12" s="17">
        <v>0</v>
      </c>
      <c r="X12" s="17">
        <v>0</v>
      </c>
      <c r="Y12" s="17">
        <v>21</v>
      </c>
      <c r="Z12" s="17">
        <v>3</v>
      </c>
      <c r="AA12" s="8">
        <f t="shared" si="5"/>
        <v>21</v>
      </c>
      <c r="AB12" s="8">
        <f t="shared" si="6"/>
        <v>3</v>
      </c>
      <c r="AC12" s="8"/>
      <c r="AD12" s="17">
        <v>1</v>
      </c>
      <c r="AE12" s="17">
        <v>0</v>
      </c>
      <c r="AF12" s="8">
        <f t="shared" si="13"/>
        <v>1</v>
      </c>
      <c r="AH12" s="17">
        <f t="shared" si="14"/>
        <v>103</v>
      </c>
      <c r="AI12" s="15">
        <v>29</v>
      </c>
      <c r="AK12" s="6">
        <f>IFERROR(N12/M12,"-")</f>
        <v>0.18518518518518517</v>
      </c>
      <c r="AL12" s="18" t="str">
        <f>IFERROR(U12/T12,"-")</f>
        <v>-</v>
      </c>
      <c r="AM12" s="18">
        <f>IFERROR(AB12/AA12,"-")</f>
        <v>0.14285714285714285</v>
      </c>
      <c r="AN12" s="218">
        <f>IFERROR(AH12/G12,"-")</f>
        <v>20.6</v>
      </c>
    </row>
    <row r="13" spans="1:40" s="7" customFormat="1" x14ac:dyDescent="0.2">
      <c r="A13" s="17">
        <v>30</v>
      </c>
      <c r="C13" s="16">
        <f t="shared" si="9"/>
        <v>45861</v>
      </c>
      <c r="D13" s="17"/>
      <c r="E13" s="16">
        <f t="shared" si="0"/>
        <v>45867</v>
      </c>
      <c r="G13" s="17">
        <v>5</v>
      </c>
      <c r="H13" s="17"/>
      <c r="I13" s="17">
        <v>21</v>
      </c>
      <c r="J13" s="17">
        <v>3</v>
      </c>
      <c r="K13" s="17">
        <v>25</v>
      </c>
      <c r="L13" s="17">
        <v>6</v>
      </c>
      <c r="M13" s="8">
        <f t="shared" si="10"/>
        <v>46</v>
      </c>
      <c r="N13" s="8">
        <f t="shared" si="11"/>
        <v>9</v>
      </c>
      <c r="O13" s="8"/>
      <c r="P13" s="17">
        <v>0</v>
      </c>
      <c r="Q13" s="17">
        <v>0</v>
      </c>
      <c r="R13" s="17">
        <v>0</v>
      </c>
      <c r="S13" s="17">
        <v>0</v>
      </c>
      <c r="T13" s="8">
        <f t="shared" si="18"/>
        <v>0</v>
      </c>
      <c r="U13" s="8">
        <f t="shared" si="12"/>
        <v>0</v>
      </c>
      <c r="V13" s="8"/>
      <c r="W13" s="17">
        <v>0</v>
      </c>
      <c r="X13" s="17">
        <v>0</v>
      </c>
      <c r="Y13" s="17">
        <v>3</v>
      </c>
      <c r="Z13" s="17">
        <v>0</v>
      </c>
      <c r="AA13" s="8">
        <f t="shared" si="5"/>
        <v>3</v>
      </c>
      <c r="AB13" s="8">
        <f t="shared" si="6"/>
        <v>0</v>
      </c>
      <c r="AC13" s="8"/>
      <c r="AD13" s="17">
        <v>1</v>
      </c>
      <c r="AE13" s="17">
        <v>1</v>
      </c>
      <c r="AF13" s="8">
        <f t="shared" si="13"/>
        <v>2</v>
      </c>
      <c r="AH13" s="17">
        <f t="shared" si="14"/>
        <v>51</v>
      </c>
      <c r="AI13" s="15">
        <v>30</v>
      </c>
      <c r="AK13" s="6">
        <f>IFERROR(N13/M13,"-")</f>
        <v>0.19565217391304349</v>
      </c>
      <c r="AL13" s="18" t="str">
        <f>IFERROR(U13/T13,"-")</f>
        <v>-</v>
      </c>
      <c r="AM13" s="18">
        <f>IFERROR(AB13/AA13,"-")</f>
        <v>0</v>
      </c>
      <c r="AN13" s="218">
        <f>IFERROR(AH13/G13,"-")</f>
        <v>10.199999999999999</v>
      </c>
    </row>
    <row r="14" spans="1:40" x14ac:dyDescent="0.2">
      <c r="A14" s="17">
        <v>31</v>
      </c>
      <c r="B14" s="17"/>
      <c r="C14" s="16">
        <f t="shared" si="9"/>
        <v>45868</v>
      </c>
      <c r="D14" s="17"/>
      <c r="E14" s="16">
        <f t="shared" si="0"/>
        <v>45874</v>
      </c>
      <c r="F14" s="17"/>
      <c r="G14" s="17">
        <v>3</v>
      </c>
      <c r="H14" s="17"/>
      <c r="I14" s="19">
        <v>13</v>
      </c>
      <c r="J14" s="19">
        <v>1</v>
      </c>
      <c r="K14" s="19">
        <v>10</v>
      </c>
      <c r="L14" s="19">
        <v>2</v>
      </c>
      <c r="M14" s="8">
        <f t="shared" si="10"/>
        <v>23</v>
      </c>
      <c r="N14" s="8">
        <f t="shared" si="11"/>
        <v>3</v>
      </c>
      <c r="O14" s="8"/>
      <c r="P14" s="17">
        <v>0</v>
      </c>
      <c r="Q14" s="17">
        <v>0</v>
      </c>
      <c r="R14" s="17">
        <v>0</v>
      </c>
      <c r="S14" s="17">
        <v>0</v>
      </c>
      <c r="T14" s="8">
        <f t="shared" si="18"/>
        <v>0</v>
      </c>
      <c r="U14" s="8">
        <f t="shared" si="12"/>
        <v>0</v>
      </c>
      <c r="V14" s="8"/>
      <c r="W14" s="17">
        <v>1</v>
      </c>
      <c r="X14" s="17">
        <v>0</v>
      </c>
      <c r="Y14" s="17">
        <v>2</v>
      </c>
      <c r="Z14" s="17">
        <v>1</v>
      </c>
      <c r="AA14" s="8">
        <f t="shared" si="5"/>
        <v>3</v>
      </c>
      <c r="AB14" s="8">
        <f t="shared" si="6"/>
        <v>1</v>
      </c>
      <c r="AC14" s="8"/>
      <c r="AD14" s="17">
        <v>1</v>
      </c>
      <c r="AE14" s="17">
        <v>0</v>
      </c>
      <c r="AF14" s="8">
        <f t="shared" si="13"/>
        <v>1</v>
      </c>
      <c r="AH14" s="17">
        <f t="shared" si="14"/>
        <v>27</v>
      </c>
      <c r="AI14" s="15">
        <v>31</v>
      </c>
      <c r="AK14" s="6">
        <f t="shared" ref="AK14:AK33" si="22">IFERROR(N14/M14,"-")</f>
        <v>0.13043478260869565</v>
      </c>
      <c r="AL14" s="18" t="str">
        <f t="shared" ref="AL14:AL33" si="23">IFERROR(U14/T14,"-")</f>
        <v>-</v>
      </c>
      <c r="AM14" s="18">
        <f t="shared" ref="AM14:AM33" si="24">IFERROR(AB14/AA14,"-")</f>
        <v>0.33333333333333331</v>
      </c>
      <c r="AN14" s="218">
        <f t="shared" ref="AN14:AN33" si="25">IFERROR(AH14/G14,"-")</f>
        <v>9</v>
      </c>
    </row>
    <row r="15" spans="1:40" ht="14.25" x14ac:dyDescent="0.2">
      <c r="A15" s="17">
        <v>32</v>
      </c>
      <c r="B15" s="17"/>
      <c r="C15" s="16">
        <f t="shared" si="9"/>
        <v>45875</v>
      </c>
      <c r="D15" s="17"/>
      <c r="E15" s="16">
        <f t="shared" si="0"/>
        <v>45881</v>
      </c>
      <c r="F15" s="20"/>
      <c r="G15" s="17">
        <v>5</v>
      </c>
      <c r="H15" s="17"/>
      <c r="I15" s="17">
        <v>23</v>
      </c>
      <c r="J15" s="17">
        <v>5</v>
      </c>
      <c r="K15" s="17">
        <v>28</v>
      </c>
      <c r="L15" s="17">
        <v>2</v>
      </c>
      <c r="M15" s="8">
        <f t="shared" si="10"/>
        <v>51</v>
      </c>
      <c r="N15" s="8">
        <f t="shared" si="11"/>
        <v>7</v>
      </c>
      <c r="O15" s="8"/>
      <c r="P15" s="17">
        <v>0</v>
      </c>
      <c r="Q15" s="17">
        <v>0</v>
      </c>
      <c r="R15" s="17">
        <v>0</v>
      </c>
      <c r="S15" s="17">
        <v>0</v>
      </c>
      <c r="T15" s="8">
        <f t="shared" si="18"/>
        <v>0</v>
      </c>
      <c r="U15" s="8">
        <f t="shared" si="12"/>
        <v>0</v>
      </c>
      <c r="V15" s="8"/>
      <c r="W15" s="17">
        <v>0</v>
      </c>
      <c r="X15" s="17">
        <v>0</v>
      </c>
      <c r="Y15" s="17">
        <v>12</v>
      </c>
      <c r="Z15" s="17">
        <v>4</v>
      </c>
      <c r="AA15" s="8">
        <f t="shared" si="5"/>
        <v>12</v>
      </c>
      <c r="AB15" s="8">
        <f t="shared" si="6"/>
        <v>4</v>
      </c>
      <c r="AC15" s="8"/>
      <c r="AD15" s="17">
        <v>1</v>
      </c>
      <c r="AE15" s="17">
        <v>1</v>
      </c>
      <c r="AF15" s="8">
        <f t="shared" si="13"/>
        <v>2</v>
      </c>
      <c r="AH15" s="17">
        <f t="shared" si="14"/>
        <v>65</v>
      </c>
      <c r="AI15" s="15">
        <v>32</v>
      </c>
      <c r="AK15" s="6">
        <f t="shared" si="22"/>
        <v>0.13725490196078433</v>
      </c>
      <c r="AL15" s="18" t="str">
        <f t="shared" si="23"/>
        <v>-</v>
      </c>
      <c r="AM15" s="18">
        <f t="shared" si="24"/>
        <v>0.33333333333333331</v>
      </c>
      <c r="AN15" s="218">
        <f t="shared" si="25"/>
        <v>13</v>
      </c>
    </row>
    <row r="16" spans="1:40" ht="14.25" x14ac:dyDescent="0.2">
      <c r="A16" s="17">
        <v>33</v>
      </c>
      <c r="B16" s="17"/>
      <c r="C16" s="16">
        <f t="shared" si="9"/>
        <v>45882</v>
      </c>
      <c r="D16" s="17"/>
      <c r="E16" s="16">
        <f t="shared" si="0"/>
        <v>45888</v>
      </c>
      <c r="F16" s="20"/>
      <c r="G16" s="17">
        <v>5</v>
      </c>
      <c r="H16" s="17"/>
      <c r="I16" s="17">
        <v>46</v>
      </c>
      <c r="J16" s="17">
        <v>4</v>
      </c>
      <c r="K16" s="17">
        <v>26</v>
      </c>
      <c r="L16" s="17">
        <v>3</v>
      </c>
      <c r="M16" s="8">
        <f t="shared" si="10"/>
        <v>72</v>
      </c>
      <c r="N16" s="8">
        <f t="shared" si="11"/>
        <v>7</v>
      </c>
      <c r="O16" s="8"/>
      <c r="P16" s="17">
        <v>0</v>
      </c>
      <c r="Q16" s="17">
        <v>0</v>
      </c>
      <c r="R16" s="17">
        <v>0</v>
      </c>
      <c r="S16" s="17">
        <v>0</v>
      </c>
      <c r="T16" s="8">
        <f t="shared" si="18"/>
        <v>0</v>
      </c>
      <c r="U16" s="8">
        <f t="shared" si="12"/>
        <v>0</v>
      </c>
      <c r="V16" s="8"/>
      <c r="W16" s="17">
        <v>0</v>
      </c>
      <c r="X16" s="17">
        <v>0</v>
      </c>
      <c r="Y16" s="17">
        <v>5</v>
      </c>
      <c r="Z16" s="17">
        <v>0</v>
      </c>
      <c r="AA16" s="8">
        <f t="shared" si="5"/>
        <v>5</v>
      </c>
      <c r="AB16" s="8">
        <f t="shared" si="6"/>
        <v>0</v>
      </c>
      <c r="AC16" s="8"/>
      <c r="AD16" s="17">
        <v>0</v>
      </c>
      <c r="AE16" s="17">
        <v>0</v>
      </c>
      <c r="AF16" s="8">
        <f t="shared" si="13"/>
        <v>0</v>
      </c>
      <c r="AH16" s="17">
        <f t="shared" si="14"/>
        <v>77</v>
      </c>
      <c r="AI16" s="15">
        <v>33</v>
      </c>
      <c r="AK16" s="6">
        <f t="shared" si="22"/>
        <v>9.7222222222222224E-2</v>
      </c>
      <c r="AL16" s="18" t="str">
        <f t="shared" si="23"/>
        <v>-</v>
      </c>
      <c r="AM16" s="18">
        <f t="shared" si="24"/>
        <v>0</v>
      </c>
      <c r="AN16" s="218">
        <f t="shared" si="25"/>
        <v>15.4</v>
      </c>
    </row>
    <row r="17" spans="1:40" ht="14.25" x14ac:dyDescent="0.2">
      <c r="A17" s="17">
        <v>34</v>
      </c>
      <c r="B17" s="17"/>
      <c r="C17" s="16">
        <f t="shared" si="9"/>
        <v>45889</v>
      </c>
      <c r="D17" s="17"/>
      <c r="E17" s="16">
        <f t="shared" si="0"/>
        <v>45895</v>
      </c>
      <c r="F17" s="20"/>
      <c r="G17" s="17">
        <v>3</v>
      </c>
      <c r="H17" s="17"/>
      <c r="I17" s="17">
        <v>12</v>
      </c>
      <c r="J17" s="17">
        <v>0</v>
      </c>
      <c r="K17" s="17">
        <v>9</v>
      </c>
      <c r="L17" s="17">
        <v>2</v>
      </c>
      <c r="M17" s="8">
        <f t="shared" si="10"/>
        <v>21</v>
      </c>
      <c r="N17" s="8">
        <f t="shared" si="11"/>
        <v>2</v>
      </c>
      <c r="O17" s="8"/>
      <c r="P17" s="17">
        <v>0</v>
      </c>
      <c r="Q17" s="17">
        <v>0</v>
      </c>
      <c r="R17" s="17">
        <v>0</v>
      </c>
      <c r="S17" s="17">
        <v>0</v>
      </c>
      <c r="T17" s="8">
        <f t="shared" si="18"/>
        <v>0</v>
      </c>
      <c r="U17" s="8">
        <f t="shared" si="12"/>
        <v>0</v>
      </c>
      <c r="V17" s="8"/>
      <c r="W17" s="17">
        <v>0</v>
      </c>
      <c r="X17" s="17">
        <v>0</v>
      </c>
      <c r="Y17" s="17">
        <v>1</v>
      </c>
      <c r="Z17" s="17">
        <v>0</v>
      </c>
      <c r="AA17" s="8">
        <f t="shared" si="5"/>
        <v>1</v>
      </c>
      <c r="AB17" s="8">
        <f t="shared" si="6"/>
        <v>0</v>
      </c>
      <c r="AC17" s="8"/>
      <c r="AD17" s="17">
        <v>0</v>
      </c>
      <c r="AE17" s="17">
        <v>0</v>
      </c>
      <c r="AF17" s="8">
        <f t="shared" si="13"/>
        <v>0</v>
      </c>
      <c r="AH17" s="17">
        <f t="shared" si="14"/>
        <v>22</v>
      </c>
      <c r="AI17" s="15">
        <v>34</v>
      </c>
      <c r="AK17" s="6">
        <f t="shared" si="22"/>
        <v>9.5238095238095233E-2</v>
      </c>
      <c r="AL17" s="18" t="str">
        <f t="shared" si="23"/>
        <v>-</v>
      </c>
      <c r="AM17" s="18">
        <f t="shared" si="24"/>
        <v>0</v>
      </c>
      <c r="AN17" s="218">
        <f t="shared" si="25"/>
        <v>7.333333333333333</v>
      </c>
    </row>
    <row r="18" spans="1:40" ht="14.25" x14ac:dyDescent="0.2">
      <c r="A18" s="17">
        <v>35</v>
      </c>
      <c r="B18" s="17"/>
      <c r="C18" s="16">
        <f t="shared" si="9"/>
        <v>45896</v>
      </c>
      <c r="D18" s="17"/>
      <c r="E18" s="16">
        <f t="shared" si="0"/>
        <v>45902</v>
      </c>
      <c r="F18" s="20"/>
      <c r="G18" s="17">
        <v>2</v>
      </c>
      <c r="H18" s="17"/>
      <c r="I18" s="17">
        <v>9</v>
      </c>
      <c r="J18" s="17">
        <v>1</v>
      </c>
      <c r="K18" s="17">
        <v>11</v>
      </c>
      <c r="L18" s="17">
        <v>1</v>
      </c>
      <c r="M18" s="8">
        <f t="shared" si="10"/>
        <v>20</v>
      </c>
      <c r="N18" s="8">
        <f t="shared" si="11"/>
        <v>2</v>
      </c>
      <c r="O18" s="8"/>
      <c r="P18" s="17">
        <v>0</v>
      </c>
      <c r="Q18" s="17">
        <v>0</v>
      </c>
      <c r="R18" s="17">
        <v>0</v>
      </c>
      <c r="S18" s="17">
        <v>0</v>
      </c>
      <c r="T18" s="8">
        <f t="shared" si="18"/>
        <v>0</v>
      </c>
      <c r="U18" s="8">
        <f t="shared" si="12"/>
        <v>0</v>
      </c>
      <c r="V18" s="8"/>
      <c r="W18" s="17">
        <v>0</v>
      </c>
      <c r="X18" s="17">
        <v>0</v>
      </c>
      <c r="Y18" s="17">
        <v>15</v>
      </c>
      <c r="Z18" s="17">
        <v>6</v>
      </c>
      <c r="AA18" s="8">
        <f t="shared" si="5"/>
        <v>15</v>
      </c>
      <c r="AB18" s="8">
        <f t="shared" si="6"/>
        <v>6</v>
      </c>
      <c r="AC18" s="8"/>
      <c r="AD18" s="17">
        <v>0</v>
      </c>
      <c r="AE18" s="17">
        <v>0</v>
      </c>
      <c r="AF18" s="8">
        <f t="shared" si="13"/>
        <v>0</v>
      </c>
      <c r="AH18" s="17">
        <f t="shared" si="14"/>
        <v>35</v>
      </c>
      <c r="AI18" s="15">
        <v>35</v>
      </c>
      <c r="AK18" s="6">
        <f t="shared" si="22"/>
        <v>0.1</v>
      </c>
      <c r="AL18" s="18" t="str">
        <f t="shared" si="23"/>
        <v>-</v>
      </c>
      <c r="AM18" s="18">
        <f t="shared" si="24"/>
        <v>0.4</v>
      </c>
      <c r="AN18" s="218">
        <f t="shared" si="25"/>
        <v>17.5</v>
      </c>
    </row>
    <row r="19" spans="1:40" ht="14.25" x14ac:dyDescent="0.2">
      <c r="A19" s="17">
        <v>36</v>
      </c>
      <c r="B19" s="17"/>
      <c r="C19" s="16">
        <f t="shared" si="9"/>
        <v>45903</v>
      </c>
      <c r="D19" s="17"/>
      <c r="E19" s="16">
        <f t="shared" si="0"/>
        <v>45909</v>
      </c>
      <c r="F19" s="20"/>
      <c r="G19" s="17">
        <v>5</v>
      </c>
      <c r="H19" s="17"/>
      <c r="I19" s="17">
        <v>40</v>
      </c>
      <c r="J19" s="17">
        <v>3</v>
      </c>
      <c r="K19" s="17">
        <v>32</v>
      </c>
      <c r="L19" s="17">
        <v>3</v>
      </c>
      <c r="M19" s="8">
        <f t="shared" si="10"/>
        <v>72</v>
      </c>
      <c r="N19" s="8">
        <f t="shared" si="11"/>
        <v>6</v>
      </c>
      <c r="O19" s="8"/>
      <c r="P19" s="17">
        <v>0</v>
      </c>
      <c r="Q19" s="17">
        <v>0</v>
      </c>
      <c r="R19" s="17">
        <v>0</v>
      </c>
      <c r="S19" s="17">
        <v>0</v>
      </c>
      <c r="T19" s="8">
        <f t="shared" si="18"/>
        <v>0</v>
      </c>
      <c r="U19" s="8">
        <f t="shared" si="12"/>
        <v>0</v>
      </c>
      <c r="V19" s="8"/>
      <c r="W19" s="17">
        <v>3</v>
      </c>
      <c r="X19" s="17">
        <v>0</v>
      </c>
      <c r="Y19" s="17">
        <v>3</v>
      </c>
      <c r="Z19" s="17">
        <v>1</v>
      </c>
      <c r="AA19" s="8">
        <f t="shared" si="5"/>
        <v>6</v>
      </c>
      <c r="AB19" s="8">
        <f t="shared" si="6"/>
        <v>1</v>
      </c>
      <c r="AC19" s="8"/>
      <c r="AD19" s="17">
        <v>0</v>
      </c>
      <c r="AE19" s="17">
        <v>1</v>
      </c>
      <c r="AF19" s="8">
        <f t="shared" si="13"/>
        <v>1</v>
      </c>
      <c r="AH19" s="17">
        <f t="shared" si="14"/>
        <v>79</v>
      </c>
      <c r="AI19" s="15">
        <v>36</v>
      </c>
      <c r="AK19" s="6">
        <f t="shared" si="22"/>
        <v>8.3333333333333329E-2</v>
      </c>
      <c r="AL19" s="18" t="str">
        <f t="shared" si="23"/>
        <v>-</v>
      </c>
      <c r="AM19" s="18">
        <f t="shared" si="24"/>
        <v>0.16666666666666666</v>
      </c>
      <c r="AN19" s="218">
        <f t="shared" si="25"/>
        <v>15.8</v>
      </c>
    </row>
    <row r="20" spans="1:40" ht="14.25" x14ac:dyDescent="0.2">
      <c r="A20" s="17">
        <v>37</v>
      </c>
      <c r="B20" s="17"/>
      <c r="C20" s="16">
        <f t="shared" si="9"/>
        <v>45910</v>
      </c>
      <c r="D20" s="17"/>
      <c r="E20" s="16">
        <f t="shared" si="0"/>
        <v>45916</v>
      </c>
      <c r="F20" s="20"/>
      <c r="G20" s="17">
        <v>5</v>
      </c>
      <c r="H20" s="17"/>
      <c r="I20" s="17">
        <v>29</v>
      </c>
      <c r="J20" s="17">
        <v>3</v>
      </c>
      <c r="K20" s="17">
        <v>36</v>
      </c>
      <c r="L20" s="17">
        <v>6</v>
      </c>
      <c r="M20" s="8">
        <f t="shared" si="10"/>
        <v>65</v>
      </c>
      <c r="N20" s="8">
        <f t="shared" si="11"/>
        <v>9</v>
      </c>
      <c r="O20" s="8"/>
      <c r="P20" s="17">
        <v>0</v>
      </c>
      <c r="Q20" s="17">
        <v>0</v>
      </c>
      <c r="R20" s="17">
        <v>0</v>
      </c>
      <c r="S20" s="17">
        <v>0</v>
      </c>
      <c r="T20" s="8">
        <f t="shared" si="18"/>
        <v>0</v>
      </c>
      <c r="U20" s="8">
        <f t="shared" si="12"/>
        <v>0</v>
      </c>
      <c r="V20" s="8"/>
      <c r="W20" s="17">
        <v>4</v>
      </c>
      <c r="X20" s="17">
        <v>1</v>
      </c>
      <c r="Y20" s="17">
        <v>5</v>
      </c>
      <c r="Z20" s="17">
        <v>4</v>
      </c>
      <c r="AA20" s="8">
        <f t="shared" si="5"/>
        <v>9</v>
      </c>
      <c r="AB20" s="8">
        <f t="shared" si="6"/>
        <v>5</v>
      </c>
      <c r="AC20" s="8"/>
      <c r="AD20" s="17">
        <v>0</v>
      </c>
      <c r="AE20" s="17">
        <v>0</v>
      </c>
      <c r="AF20" s="8">
        <f t="shared" si="13"/>
        <v>0</v>
      </c>
      <c r="AH20" s="17">
        <f t="shared" si="14"/>
        <v>74</v>
      </c>
      <c r="AI20" s="15">
        <v>37</v>
      </c>
      <c r="AK20" s="6">
        <f t="shared" si="22"/>
        <v>0.13846153846153847</v>
      </c>
      <c r="AL20" s="18" t="str">
        <f t="shared" si="23"/>
        <v>-</v>
      </c>
      <c r="AM20" s="18">
        <f t="shared" si="24"/>
        <v>0.55555555555555558</v>
      </c>
      <c r="AN20" s="218">
        <f t="shared" si="25"/>
        <v>14.8</v>
      </c>
    </row>
    <row r="21" spans="1:40" x14ac:dyDescent="0.2">
      <c r="A21" s="17">
        <v>38</v>
      </c>
      <c r="B21" s="17"/>
      <c r="C21" s="16">
        <f t="shared" si="9"/>
        <v>45917</v>
      </c>
      <c r="D21" s="17"/>
      <c r="E21" s="16">
        <f t="shared" si="0"/>
        <v>45923</v>
      </c>
      <c r="F21" s="17"/>
      <c r="G21" s="17">
        <v>5</v>
      </c>
      <c r="H21" s="17"/>
      <c r="I21" s="17">
        <v>38</v>
      </c>
      <c r="J21" s="17">
        <v>5</v>
      </c>
      <c r="K21" s="17">
        <v>83</v>
      </c>
      <c r="L21" s="17">
        <v>10</v>
      </c>
      <c r="M21" s="8">
        <f t="shared" si="10"/>
        <v>121</v>
      </c>
      <c r="N21" s="8">
        <f t="shared" si="11"/>
        <v>15</v>
      </c>
      <c r="O21" s="8"/>
      <c r="P21" s="17">
        <v>0</v>
      </c>
      <c r="Q21" s="17">
        <v>0</v>
      </c>
      <c r="R21" s="17">
        <v>0</v>
      </c>
      <c r="S21" s="17">
        <v>0</v>
      </c>
      <c r="T21" s="8">
        <f t="shared" si="18"/>
        <v>0</v>
      </c>
      <c r="U21" s="8">
        <f t="shared" si="12"/>
        <v>0</v>
      </c>
      <c r="V21" s="8"/>
      <c r="W21" s="17">
        <v>7</v>
      </c>
      <c r="X21" s="17">
        <v>1</v>
      </c>
      <c r="Y21" s="17">
        <v>15</v>
      </c>
      <c r="Z21" s="17">
        <v>8</v>
      </c>
      <c r="AA21" s="8">
        <f t="shared" si="5"/>
        <v>22</v>
      </c>
      <c r="AB21" s="8">
        <f t="shared" si="6"/>
        <v>9</v>
      </c>
      <c r="AC21" s="8"/>
      <c r="AD21" s="17">
        <v>1</v>
      </c>
      <c r="AE21" s="17">
        <v>0</v>
      </c>
      <c r="AF21" s="8">
        <f t="shared" si="13"/>
        <v>1</v>
      </c>
      <c r="AH21" s="17">
        <f t="shared" si="14"/>
        <v>144</v>
      </c>
      <c r="AI21" s="15">
        <v>38</v>
      </c>
      <c r="AK21" s="6">
        <f t="shared" si="22"/>
        <v>0.12396694214876033</v>
      </c>
      <c r="AL21" s="18" t="str">
        <f t="shared" si="23"/>
        <v>-</v>
      </c>
      <c r="AM21" s="18">
        <f t="shared" si="24"/>
        <v>0.40909090909090912</v>
      </c>
      <c r="AN21" s="218">
        <f t="shared" si="25"/>
        <v>28.8</v>
      </c>
    </row>
    <row r="22" spans="1:40" x14ac:dyDescent="0.2">
      <c r="A22" s="17">
        <v>39</v>
      </c>
      <c r="B22" s="17"/>
      <c r="C22" s="16">
        <f t="shared" si="9"/>
        <v>45924</v>
      </c>
      <c r="D22" s="17"/>
      <c r="E22" s="16">
        <f t="shared" ref="E22:E23" si="26">C22+6</f>
        <v>45930</v>
      </c>
      <c r="F22" s="17"/>
      <c r="G22" s="17">
        <v>5</v>
      </c>
      <c r="H22" s="17"/>
      <c r="I22" s="17">
        <v>47</v>
      </c>
      <c r="J22" s="17">
        <v>5</v>
      </c>
      <c r="K22" s="17">
        <v>112</v>
      </c>
      <c r="L22" s="17">
        <v>14</v>
      </c>
      <c r="M22" s="8">
        <f t="shared" si="10"/>
        <v>159</v>
      </c>
      <c r="N22" s="8">
        <f t="shared" si="11"/>
        <v>19</v>
      </c>
      <c r="O22" s="8"/>
      <c r="P22" s="17">
        <v>1</v>
      </c>
      <c r="Q22" s="17">
        <v>1</v>
      </c>
      <c r="R22" s="17">
        <v>0</v>
      </c>
      <c r="S22" s="17">
        <v>0</v>
      </c>
      <c r="T22" s="8">
        <f t="shared" si="18"/>
        <v>1</v>
      </c>
      <c r="U22" s="8">
        <f t="shared" si="12"/>
        <v>1</v>
      </c>
      <c r="V22" s="8"/>
      <c r="W22" s="17">
        <v>4</v>
      </c>
      <c r="X22" s="17">
        <v>1</v>
      </c>
      <c r="Y22" s="17">
        <v>28</v>
      </c>
      <c r="Z22" s="17">
        <v>18</v>
      </c>
      <c r="AA22" s="8">
        <f t="shared" si="5"/>
        <v>32</v>
      </c>
      <c r="AB22" s="8">
        <f t="shared" si="6"/>
        <v>19</v>
      </c>
      <c r="AC22" s="8"/>
      <c r="AD22" s="17">
        <v>0</v>
      </c>
      <c r="AE22" s="17">
        <v>3</v>
      </c>
      <c r="AF22" s="8">
        <f t="shared" si="13"/>
        <v>3</v>
      </c>
      <c r="AH22" s="17">
        <f t="shared" si="14"/>
        <v>195</v>
      </c>
      <c r="AI22" s="15">
        <v>39</v>
      </c>
      <c r="AK22" s="6">
        <f t="shared" si="22"/>
        <v>0.11949685534591195</v>
      </c>
      <c r="AL22" s="18">
        <f t="shared" si="23"/>
        <v>1</v>
      </c>
      <c r="AM22" s="18">
        <f t="shared" si="24"/>
        <v>0.59375</v>
      </c>
      <c r="AN22" s="218">
        <f t="shared" si="25"/>
        <v>39</v>
      </c>
    </row>
    <row r="23" spans="1:40" x14ac:dyDescent="0.2">
      <c r="A23" s="17">
        <v>40</v>
      </c>
      <c r="B23" s="17"/>
      <c r="C23" s="16">
        <f t="shared" si="9"/>
        <v>45931</v>
      </c>
      <c r="D23" s="17"/>
      <c r="E23" s="16">
        <f t="shared" si="26"/>
        <v>45937</v>
      </c>
      <c r="F23" s="17"/>
      <c r="G23" s="17">
        <v>5</v>
      </c>
      <c r="H23" s="17"/>
      <c r="I23" s="17">
        <v>18</v>
      </c>
      <c r="J23" s="17">
        <v>0</v>
      </c>
      <c r="K23" s="17">
        <v>51</v>
      </c>
      <c r="L23" s="17">
        <v>6</v>
      </c>
      <c r="M23" s="8">
        <f t="shared" si="10"/>
        <v>69</v>
      </c>
      <c r="N23" s="8">
        <f t="shared" si="11"/>
        <v>6</v>
      </c>
      <c r="O23" s="8"/>
      <c r="P23" s="17">
        <v>0</v>
      </c>
      <c r="Q23" s="17">
        <v>0</v>
      </c>
      <c r="R23" s="17">
        <v>0</v>
      </c>
      <c r="S23" s="17">
        <v>0</v>
      </c>
      <c r="T23" s="8">
        <f t="shared" si="18"/>
        <v>0</v>
      </c>
      <c r="U23" s="8">
        <f t="shared" si="12"/>
        <v>0</v>
      </c>
      <c r="V23" s="8"/>
      <c r="W23" s="17">
        <v>2</v>
      </c>
      <c r="X23" s="17">
        <v>0</v>
      </c>
      <c r="Y23" s="17">
        <v>24</v>
      </c>
      <c r="Z23" s="17">
        <v>12</v>
      </c>
      <c r="AA23" s="8">
        <f t="shared" si="5"/>
        <v>26</v>
      </c>
      <c r="AB23" s="8">
        <f t="shared" si="6"/>
        <v>12</v>
      </c>
      <c r="AC23" s="8"/>
      <c r="AD23" s="17">
        <v>0</v>
      </c>
      <c r="AE23" s="17">
        <v>4</v>
      </c>
      <c r="AF23" s="8">
        <f t="shared" si="13"/>
        <v>4</v>
      </c>
      <c r="AH23" s="17">
        <f t="shared" si="14"/>
        <v>99</v>
      </c>
      <c r="AI23" s="15">
        <v>40</v>
      </c>
      <c r="AK23" s="6">
        <f t="shared" si="22"/>
        <v>8.6956521739130432E-2</v>
      </c>
      <c r="AL23" s="18" t="str">
        <f t="shared" si="23"/>
        <v>-</v>
      </c>
      <c r="AM23" s="18">
        <f t="shared" si="24"/>
        <v>0.46153846153846156</v>
      </c>
      <c r="AN23" s="218">
        <f t="shared" si="25"/>
        <v>19.8</v>
      </c>
    </row>
    <row r="24" spans="1:40" x14ac:dyDescent="0.2">
      <c r="A24" s="17">
        <v>41</v>
      </c>
      <c r="B24" s="17"/>
      <c r="C24" s="16">
        <f t="shared" si="9"/>
        <v>45938</v>
      </c>
      <c r="D24" s="17"/>
      <c r="E24" s="16">
        <f t="shared" ref="E24:E25" si="27">C24+6</f>
        <v>45944</v>
      </c>
      <c r="F24" s="17"/>
      <c r="G24" s="17">
        <v>5</v>
      </c>
      <c r="H24" s="17"/>
      <c r="I24" s="17">
        <v>11</v>
      </c>
      <c r="J24" s="17">
        <v>1</v>
      </c>
      <c r="K24" s="17">
        <v>12</v>
      </c>
      <c r="L24" s="17">
        <v>1</v>
      </c>
      <c r="M24" s="8">
        <f t="shared" si="10"/>
        <v>23</v>
      </c>
      <c r="N24" s="8">
        <f t="shared" si="11"/>
        <v>2</v>
      </c>
      <c r="O24" s="8"/>
      <c r="P24" s="17">
        <v>1</v>
      </c>
      <c r="Q24" s="17">
        <v>1</v>
      </c>
      <c r="R24" s="17">
        <v>0</v>
      </c>
      <c r="S24" s="17">
        <v>0</v>
      </c>
      <c r="T24" s="8">
        <f t="shared" si="18"/>
        <v>1</v>
      </c>
      <c r="U24" s="8">
        <f t="shared" si="12"/>
        <v>1</v>
      </c>
      <c r="V24" s="8"/>
      <c r="W24" s="17">
        <v>1</v>
      </c>
      <c r="X24" s="17">
        <v>0</v>
      </c>
      <c r="Y24" s="17">
        <v>12</v>
      </c>
      <c r="Z24" s="17">
        <v>6</v>
      </c>
      <c r="AA24" s="8">
        <f t="shared" si="5"/>
        <v>13</v>
      </c>
      <c r="AB24" s="8">
        <f t="shared" si="6"/>
        <v>6</v>
      </c>
      <c r="AC24" s="8"/>
      <c r="AD24" s="17">
        <v>0</v>
      </c>
      <c r="AE24" s="17">
        <v>1</v>
      </c>
      <c r="AF24" s="8">
        <f t="shared" si="13"/>
        <v>1</v>
      </c>
      <c r="AH24" s="17">
        <f t="shared" si="14"/>
        <v>38</v>
      </c>
      <c r="AI24" s="15">
        <v>41</v>
      </c>
      <c r="AK24" s="6">
        <f t="shared" si="22"/>
        <v>8.6956521739130432E-2</v>
      </c>
      <c r="AL24" s="18">
        <f t="shared" si="23"/>
        <v>1</v>
      </c>
      <c r="AM24" s="18">
        <f t="shared" si="24"/>
        <v>0.46153846153846156</v>
      </c>
      <c r="AN24" s="218">
        <f t="shared" si="25"/>
        <v>7.6</v>
      </c>
    </row>
    <row r="25" spans="1:40" x14ac:dyDescent="0.2">
      <c r="A25" s="17">
        <v>42</v>
      </c>
      <c r="B25" s="17"/>
      <c r="C25" s="16">
        <f t="shared" si="9"/>
        <v>45945</v>
      </c>
      <c r="D25" s="17"/>
      <c r="E25" s="16">
        <f t="shared" si="27"/>
        <v>45951</v>
      </c>
      <c r="F25" s="17"/>
      <c r="G25" s="17">
        <v>5</v>
      </c>
      <c r="H25" s="17"/>
      <c r="I25" s="17">
        <v>17</v>
      </c>
      <c r="J25" s="17">
        <v>1</v>
      </c>
      <c r="K25" s="17">
        <v>36</v>
      </c>
      <c r="L25" s="17">
        <v>6</v>
      </c>
      <c r="M25" s="8">
        <f t="shared" si="10"/>
        <v>53</v>
      </c>
      <c r="N25" s="8">
        <f t="shared" si="11"/>
        <v>7</v>
      </c>
      <c r="O25" s="8"/>
      <c r="P25" s="17">
        <v>1</v>
      </c>
      <c r="Q25" s="17">
        <v>1</v>
      </c>
      <c r="R25" s="17">
        <v>1</v>
      </c>
      <c r="S25" s="17">
        <v>1</v>
      </c>
      <c r="T25" s="8">
        <f t="shared" si="18"/>
        <v>2</v>
      </c>
      <c r="U25" s="8">
        <f t="shared" si="12"/>
        <v>2</v>
      </c>
      <c r="V25" s="8"/>
      <c r="W25" s="17">
        <v>1</v>
      </c>
      <c r="X25" s="17">
        <v>0</v>
      </c>
      <c r="Y25" s="17">
        <v>28</v>
      </c>
      <c r="Z25" s="17">
        <v>17</v>
      </c>
      <c r="AA25" s="8">
        <f t="shared" si="5"/>
        <v>29</v>
      </c>
      <c r="AB25" s="8">
        <f t="shared" si="6"/>
        <v>17</v>
      </c>
      <c r="AC25" s="8"/>
      <c r="AD25" s="17">
        <v>1</v>
      </c>
      <c r="AE25" s="17">
        <v>12</v>
      </c>
      <c r="AF25" s="8">
        <f t="shared" si="13"/>
        <v>13</v>
      </c>
      <c r="AH25" s="17">
        <f t="shared" si="14"/>
        <v>97</v>
      </c>
      <c r="AI25" s="15">
        <v>42</v>
      </c>
      <c r="AK25" s="6">
        <f t="shared" si="22"/>
        <v>0.13207547169811321</v>
      </c>
      <c r="AL25" s="18">
        <f t="shared" si="23"/>
        <v>1</v>
      </c>
      <c r="AM25" s="18">
        <f t="shared" si="24"/>
        <v>0.58620689655172409</v>
      </c>
      <c r="AN25" s="218">
        <f t="shared" si="25"/>
        <v>19.399999999999999</v>
      </c>
    </row>
    <row r="26" spans="1:40" x14ac:dyDescent="0.2">
      <c r="A26" s="17">
        <v>43</v>
      </c>
      <c r="B26" s="17"/>
      <c r="C26" s="16">
        <f t="shared" si="9"/>
        <v>45952</v>
      </c>
      <c r="D26" s="17"/>
      <c r="E26" s="16">
        <f t="shared" ref="E26:E27" si="28">C26+6</f>
        <v>45958</v>
      </c>
      <c r="F26" s="17"/>
      <c r="G26" s="17">
        <v>5</v>
      </c>
      <c r="H26" s="17"/>
      <c r="I26" s="17">
        <v>18</v>
      </c>
      <c r="J26" s="17">
        <v>0</v>
      </c>
      <c r="K26" s="17">
        <v>45</v>
      </c>
      <c r="L26" s="17">
        <v>8</v>
      </c>
      <c r="M26" s="8">
        <f t="shared" si="10"/>
        <v>63</v>
      </c>
      <c r="N26" s="8">
        <f t="shared" si="11"/>
        <v>8</v>
      </c>
      <c r="O26" s="8"/>
      <c r="P26" s="17">
        <v>0</v>
      </c>
      <c r="Q26" s="17">
        <v>0</v>
      </c>
      <c r="R26" s="17">
        <v>2</v>
      </c>
      <c r="S26" s="17">
        <v>2</v>
      </c>
      <c r="T26" s="8">
        <f t="shared" si="18"/>
        <v>2</v>
      </c>
      <c r="U26" s="8">
        <f t="shared" si="12"/>
        <v>2</v>
      </c>
      <c r="V26" s="8"/>
      <c r="W26" s="17">
        <v>2</v>
      </c>
      <c r="X26" s="17">
        <v>0</v>
      </c>
      <c r="Y26" s="17">
        <v>25</v>
      </c>
      <c r="Z26" s="17">
        <v>9</v>
      </c>
      <c r="AA26" s="8">
        <f t="shared" si="5"/>
        <v>27</v>
      </c>
      <c r="AB26" s="8">
        <f t="shared" si="6"/>
        <v>9</v>
      </c>
      <c r="AC26" s="8"/>
      <c r="AD26" s="17">
        <v>2</v>
      </c>
      <c r="AE26" s="17">
        <v>10</v>
      </c>
      <c r="AF26" s="8">
        <f t="shared" si="13"/>
        <v>12</v>
      </c>
      <c r="AH26" s="17">
        <f t="shared" si="14"/>
        <v>104</v>
      </c>
      <c r="AI26" s="15">
        <v>43</v>
      </c>
      <c r="AK26" s="6">
        <f t="shared" si="22"/>
        <v>0.12698412698412698</v>
      </c>
      <c r="AL26" s="18">
        <f t="shared" si="23"/>
        <v>1</v>
      </c>
      <c r="AM26" s="18">
        <f t="shared" si="24"/>
        <v>0.33333333333333331</v>
      </c>
      <c r="AN26" s="218">
        <f t="shared" si="25"/>
        <v>20.8</v>
      </c>
    </row>
    <row r="27" spans="1:40" x14ac:dyDescent="0.2">
      <c r="A27" s="17">
        <v>44</v>
      </c>
      <c r="B27" s="17"/>
      <c r="C27" s="16">
        <f t="shared" si="9"/>
        <v>45959</v>
      </c>
      <c r="D27" s="17"/>
      <c r="E27" s="16">
        <f t="shared" si="28"/>
        <v>45965</v>
      </c>
      <c r="F27" s="17"/>
      <c r="G27" s="17">
        <v>4</v>
      </c>
      <c r="H27" s="17"/>
      <c r="I27" s="17">
        <v>14</v>
      </c>
      <c r="J27" s="17">
        <v>0</v>
      </c>
      <c r="K27" s="17">
        <v>45</v>
      </c>
      <c r="L27" s="17">
        <v>8</v>
      </c>
      <c r="M27" s="8">
        <f t="shared" si="10"/>
        <v>59</v>
      </c>
      <c r="N27" s="8">
        <f t="shared" si="11"/>
        <v>8</v>
      </c>
      <c r="O27" s="8"/>
      <c r="P27" s="17">
        <v>0</v>
      </c>
      <c r="Q27" s="17">
        <v>0</v>
      </c>
      <c r="R27" s="17">
        <v>0</v>
      </c>
      <c r="S27" s="17">
        <v>0</v>
      </c>
      <c r="T27" s="8">
        <f t="shared" si="18"/>
        <v>0</v>
      </c>
      <c r="U27" s="8">
        <f t="shared" si="12"/>
        <v>0</v>
      </c>
      <c r="V27" s="8"/>
      <c r="W27" s="17">
        <v>0</v>
      </c>
      <c r="X27" s="17">
        <v>0</v>
      </c>
      <c r="Y27" s="17">
        <v>38</v>
      </c>
      <c r="Z27" s="17">
        <v>22</v>
      </c>
      <c r="AA27" s="8">
        <f t="shared" si="5"/>
        <v>38</v>
      </c>
      <c r="AB27" s="8">
        <f t="shared" si="6"/>
        <v>22</v>
      </c>
      <c r="AC27" s="8"/>
      <c r="AD27" s="17">
        <v>1</v>
      </c>
      <c r="AE27" s="17">
        <v>6</v>
      </c>
      <c r="AF27" s="8">
        <f t="shared" si="13"/>
        <v>7</v>
      </c>
      <c r="AH27" s="17">
        <f t="shared" si="14"/>
        <v>104</v>
      </c>
      <c r="AI27" s="15">
        <v>44</v>
      </c>
      <c r="AK27" s="6">
        <f t="shared" si="22"/>
        <v>0.13559322033898305</v>
      </c>
      <c r="AL27" s="18" t="str">
        <f t="shared" si="23"/>
        <v>-</v>
      </c>
      <c r="AM27" s="18">
        <f t="shared" si="24"/>
        <v>0.57894736842105265</v>
      </c>
      <c r="AN27" s="218">
        <f t="shared" si="25"/>
        <v>26</v>
      </c>
    </row>
    <row r="28" spans="1:40" x14ac:dyDescent="0.2">
      <c r="A28" s="17">
        <v>45</v>
      </c>
      <c r="B28" s="17"/>
      <c r="C28" s="16">
        <f t="shared" si="9"/>
        <v>45966</v>
      </c>
      <c r="D28" s="17"/>
      <c r="E28" s="16">
        <f t="shared" ref="E28:E29" si="29">C28+6</f>
        <v>45972</v>
      </c>
      <c r="F28" s="17"/>
      <c r="G28" s="17">
        <v>2</v>
      </c>
      <c r="H28" s="17"/>
      <c r="I28" s="17">
        <v>5</v>
      </c>
      <c r="J28" s="17">
        <v>0</v>
      </c>
      <c r="K28" s="17">
        <v>2</v>
      </c>
      <c r="L28" s="17">
        <v>0</v>
      </c>
      <c r="M28" s="8">
        <f t="shared" si="10"/>
        <v>7</v>
      </c>
      <c r="N28" s="8">
        <f t="shared" si="11"/>
        <v>0</v>
      </c>
      <c r="O28" s="8"/>
      <c r="P28" s="17">
        <v>0</v>
      </c>
      <c r="Q28" s="17">
        <v>0</v>
      </c>
      <c r="R28" s="17">
        <v>2</v>
      </c>
      <c r="S28" s="17">
        <v>2</v>
      </c>
      <c r="T28" s="8">
        <f t="shared" si="18"/>
        <v>2</v>
      </c>
      <c r="U28" s="8">
        <f t="shared" si="12"/>
        <v>2</v>
      </c>
      <c r="V28" s="8"/>
      <c r="W28" s="17">
        <v>0</v>
      </c>
      <c r="X28" s="17">
        <v>0</v>
      </c>
      <c r="Y28" s="17">
        <v>2</v>
      </c>
      <c r="Z28" s="17">
        <v>1</v>
      </c>
      <c r="AA28" s="8">
        <f t="shared" si="5"/>
        <v>2</v>
      </c>
      <c r="AB28" s="8">
        <f t="shared" si="6"/>
        <v>1</v>
      </c>
      <c r="AC28" s="8"/>
      <c r="AD28" s="17">
        <v>2</v>
      </c>
      <c r="AE28" s="17">
        <v>2</v>
      </c>
      <c r="AF28" s="8">
        <f t="shared" si="13"/>
        <v>4</v>
      </c>
      <c r="AH28" s="17">
        <f t="shared" si="14"/>
        <v>15</v>
      </c>
      <c r="AI28" s="15">
        <v>45</v>
      </c>
      <c r="AK28" s="6">
        <f t="shared" si="22"/>
        <v>0</v>
      </c>
      <c r="AL28" s="18">
        <f t="shared" si="23"/>
        <v>1</v>
      </c>
      <c r="AM28" s="18">
        <f t="shared" si="24"/>
        <v>0.5</v>
      </c>
      <c r="AN28" s="218">
        <f t="shared" si="25"/>
        <v>7.5</v>
      </c>
    </row>
    <row r="29" spans="1:40" x14ac:dyDescent="0.2">
      <c r="A29" s="17">
        <v>46</v>
      </c>
      <c r="B29" s="17"/>
      <c r="C29" s="16">
        <f t="shared" si="9"/>
        <v>45973</v>
      </c>
      <c r="D29" s="17"/>
      <c r="E29" s="16">
        <f t="shared" si="29"/>
        <v>45979</v>
      </c>
      <c r="F29" s="17"/>
      <c r="G29" s="17">
        <v>3</v>
      </c>
      <c r="H29" s="17"/>
      <c r="I29" s="17">
        <v>9</v>
      </c>
      <c r="J29" s="17">
        <v>0</v>
      </c>
      <c r="K29" s="17">
        <v>8</v>
      </c>
      <c r="L29" s="17">
        <v>1</v>
      </c>
      <c r="M29" s="8">
        <f t="shared" si="10"/>
        <v>17</v>
      </c>
      <c r="N29" s="8">
        <f t="shared" si="11"/>
        <v>1</v>
      </c>
      <c r="O29" s="8"/>
      <c r="P29" s="17">
        <v>0</v>
      </c>
      <c r="Q29" s="17">
        <v>0</v>
      </c>
      <c r="R29" s="17">
        <v>0</v>
      </c>
      <c r="S29" s="17">
        <v>0</v>
      </c>
      <c r="T29" s="8">
        <f t="shared" si="18"/>
        <v>0</v>
      </c>
      <c r="U29" s="8">
        <f t="shared" si="12"/>
        <v>0</v>
      </c>
      <c r="V29" s="8"/>
      <c r="W29" s="17">
        <v>0</v>
      </c>
      <c r="X29" s="17">
        <v>0</v>
      </c>
      <c r="Y29" s="17">
        <v>12</v>
      </c>
      <c r="Z29" s="17">
        <v>6</v>
      </c>
      <c r="AA29" s="8">
        <f t="shared" si="5"/>
        <v>12</v>
      </c>
      <c r="AB29" s="8">
        <f t="shared" si="6"/>
        <v>6</v>
      </c>
      <c r="AC29" s="8"/>
      <c r="AD29" s="17">
        <v>0</v>
      </c>
      <c r="AE29" s="17">
        <v>0</v>
      </c>
      <c r="AF29" s="8">
        <f t="shared" si="13"/>
        <v>0</v>
      </c>
      <c r="AH29" s="17">
        <f t="shared" si="14"/>
        <v>29</v>
      </c>
      <c r="AI29" s="15">
        <v>46</v>
      </c>
      <c r="AK29" s="6">
        <f t="shared" si="22"/>
        <v>5.8823529411764705E-2</v>
      </c>
      <c r="AL29" s="18" t="str">
        <f t="shared" si="23"/>
        <v>-</v>
      </c>
      <c r="AM29" s="18">
        <f t="shared" si="24"/>
        <v>0.5</v>
      </c>
      <c r="AN29" s="218">
        <f t="shared" si="25"/>
        <v>9.6666666666666661</v>
      </c>
    </row>
    <row r="30" spans="1:40" x14ac:dyDescent="0.2">
      <c r="A30" s="17">
        <v>47</v>
      </c>
      <c r="B30" s="17"/>
      <c r="C30" s="16">
        <f t="shared" si="9"/>
        <v>45980</v>
      </c>
      <c r="D30" s="17"/>
      <c r="E30" s="16">
        <f t="shared" ref="E30:E31" si="30">C30+6</f>
        <v>45986</v>
      </c>
      <c r="F30" s="17"/>
      <c r="G30" s="17">
        <v>4</v>
      </c>
      <c r="I30" s="17">
        <v>1</v>
      </c>
      <c r="J30" s="17">
        <v>0</v>
      </c>
      <c r="K30" s="17">
        <v>3</v>
      </c>
      <c r="L30" s="17">
        <v>0</v>
      </c>
      <c r="M30" s="8">
        <f t="shared" si="10"/>
        <v>4</v>
      </c>
      <c r="N30" s="8">
        <f t="shared" si="11"/>
        <v>0</v>
      </c>
      <c r="O30" s="8"/>
      <c r="P30" s="17">
        <v>0</v>
      </c>
      <c r="Q30" s="17">
        <v>0</v>
      </c>
      <c r="R30" s="17">
        <v>0</v>
      </c>
      <c r="S30" s="17">
        <v>0</v>
      </c>
      <c r="T30" s="8">
        <f t="shared" si="18"/>
        <v>0</v>
      </c>
      <c r="U30" s="8">
        <f t="shared" si="12"/>
        <v>0</v>
      </c>
      <c r="V30" s="8"/>
      <c r="W30" s="17">
        <v>2</v>
      </c>
      <c r="X30" s="17">
        <v>0</v>
      </c>
      <c r="Y30" s="17">
        <v>2</v>
      </c>
      <c r="Z30" s="17">
        <v>0</v>
      </c>
      <c r="AA30" s="8">
        <f t="shared" si="5"/>
        <v>4</v>
      </c>
      <c r="AB30" s="8">
        <f t="shared" si="6"/>
        <v>0</v>
      </c>
      <c r="AC30" s="8"/>
      <c r="AD30" s="17">
        <v>0</v>
      </c>
      <c r="AE30" s="17">
        <v>3</v>
      </c>
      <c r="AF30" s="8">
        <f t="shared" si="13"/>
        <v>3</v>
      </c>
      <c r="AH30" s="17">
        <f t="shared" si="14"/>
        <v>11</v>
      </c>
      <c r="AI30" s="15">
        <v>47</v>
      </c>
      <c r="AK30" s="6">
        <f t="shared" si="22"/>
        <v>0</v>
      </c>
      <c r="AL30" s="18" t="str">
        <f t="shared" si="23"/>
        <v>-</v>
      </c>
      <c r="AM30" s="18">
        <f t="shared" si="24"/>
        <v>0</v>
      </c>
      <c r="AN30" s="218">
        <f t="shared" si="25"/>
        <v>2.75</v>
      </c>
    </row>
    <row r="31" spans="1:40" x14ac:dyDescent="0.2">
      <c r="A31" s="17">
        <v>48</v>
      </c>
      <c r="B31" s="17"/>
      <c r="C31" s="16">
        <f t="shared" si="9"/>
        <v>45987</v>
      </c>
      <c r="D31" s="17"/>
      <c r="E31" s="16">
        <f t="shared" si="30"/>
        <v>45993</v>
      </c>
      <c r="F31" s="17"/>
      <c r="G31" s="17">
        <v>3</v>
      </c>
      <c r="H31" s="17"/>
      <c r="I31" s="17">
        <v>0</v>
      </c>
      <c r="J31" s="17">
        <v>0</v>
      </c>
      <c r="K31" s="17">
        <v>0</v>
      </c>
      <c r="L31" s="17">
        <v>0</v>
      </c>
      <c r="M31" s="8">
        <f t="shared" si="10"/>
        <v>0</v>
      </c>
      <c r="N31" s="8">
        <f t="shared" si="11"/>
        <v>0</v>
      </c>
      <c r="O31" s="8"/>
      <c r="P31" s="17">
        <v>0</v>
      </c>
      <c r="Q31" s="17">
        <v>0</v>
      </c>
      <c r="R31" s="17">
        <v>0</v>
      </c>
      <c r="S31" s="17">
        <v>0</v>
      </c>
      <c r="T31" s="8">
        <f t="shared" si="18"/>
        <v>0</v>
      </c>
      <c r="U31" s="8">
        <f t="shared" si="12"/>
        <v>0</v>
      </c>
      <c r="V31" s="8"/>
      <c r="W31" s="17">
        <v>0</v>
      </c>
      <c r="X31" s="17">
        <v>0</v>
      </c>
      <c r="Y31" s="17">
        <v>5</v>
      </c>
      <c r="Z31" s="17">
        <v>1</v>
      </c>
      <c r="AA31" s="8">
        <f t="shared" si="5"/>
        <v>5</v>
      </c>
      <c r="AB31" s="8">
        <f t="shared" si="6"/>
        <v>1</v>
      </c>
      <c r="AC31" s="8"/>
      <c r="AD31" s="17">
        <v>0</v>
      </c>
      <c r="AE31" s="17">
        <v>0</v>
      </c>
      <c r="AF31" s="8">
        <f t="shared" si="13"/>
        <v>0</v>
      </c>
      <c r="AH31" s="17">
        <f t="shared" si="14"/>
        <v>5</v>
      </c>
      <c r="AI31" s="15">
        <v>48</v>
      </c>
      <c r="AK31" s="6" t="str">
        <f t="shared" si="22"/>
        <v>-</v>
      </c>
      <c r="AL31" s="18" t="str">
        <f t="shared" si="23"/>
        <v>-</v>
      </c>
      <c r="AM31" s="18">
        <f t="shared" si="24"/>
        <v>0.2</v>
      </c>
      <c r="AN31" s="218">
        <f t="shared" si="25"/>
        <v>1.6666666666666667</v>
      </c>
    </row>
    <row r="32" spans="1:40" x14ac:dyDescent="0.2">
      <c r="A32" s="17">
        <v>49</v>
      </c>
      <c r="B32" s="17"/>
      <c r="C32" s="16">
        <f t="shared" si="9"/>
        <v>45994</v>
      </c>
      <c r="D32" s="17"/>
      <c r="E32" s="16">
        <f t="shared" ref="E32:E33" si="31">C32+6</f>
        <v>46000</v>
      </c>
      <c r="F32" s="17"/>
      <c r="G32" s="17">
        <v>5</v>
      </c>
      <c r="H32" s="17"/>
      <c r="I32" s="17">
        <v>0</v>
      </c>
      <c r="J32" s="17">
        <v>0</v>
      </c>
      <c r="K32" s="17">
        <v>1</v>
      </c>
      <c r="L32" s="17">
        <v>0</v>
      </c>
      <c r="M32" s="8">
        <f t="shared" si="10"/>
        <v>1</v>
      </c>
      <c r="N32" s="8">
        <f t="shared" si="11"/>
        <v>0</v>
      </c>
      <c r="O32" s="8"/>
      <c r="P32" s="17">
        <v>0</v>
      </c>
      <c r="Q32" s="17">
        <v>0</v>
      </c>
      <c r="R32" s="17">
        <v>0</v>
      </c>
      <c r="S32" s="17">
        <v>0</v>
      </c>
      <c r="T32" s="8">
        <f t="shared" si="18"/>
        <v>0</v>
      </c>
      <c r="U32" s="8">
        <f t="shared" si="12"/>
        <v>0</v>
      </c>
      <c r="V32" s="8"/>
      <c r="W32" s="17">
        <v>4</v>
      </c>
      <c r="X32" s="17">
        <v>0</v>
      </c>
      <c r="Y32" s="17">
        <v>6</v>
      </c>
      <c r="Z32" s="17">
        <v>0</v>
      </c>
      <c r="AA32" s="8">
        <f t="shared" si="5"/>
        <v>10</v>
      </c>
      <c r="AB32" s="8">
        <f t="shared" si="6"/>
        <v>0</v>
      </c>
      <c r="AC32" s="8"/>
      <c r="AD32" s="17">
        <v>0</v>
      </c>
      <c r="AE32" s="17">
        <v>3</v>
      </c>
      <c r="AF32" s="8">
        <f t="shared" si="13"/>
        <v>3</v>
      </c>
      <c r="AH32" s="17">
        <f t="shared" si="14"/>
        <v>14</v>
      </c>
      <c r="AI32" s="15">
        <v>49</v>
      </c>
      <c r="AK32" s="6">
        <f t="shared" si="22"/>
        <v>0</v>
      </c>
      <c r="AL32" s="18" t="str">
        <f t="shared" si="23"/>
        <v>-</v>
      </c>
      <c r="AM32" s="18">
        <f t="shared" si="24"/>
        <v>0</v>
      </c>
      <c r="AN32" s="218">
        <f t="shared" si="25"/>
        <v>2.8</v>
      </c>
    </row>
    <row r="33" spans="1:40" x14ac:dyDescent="0.2">
      <c r="A33" s="17">
        <v>50</v>
      </c>
      <c r="B33" s="17"/>
      <c r="C33" s="16">
        <f t="shared" si="9"/>
        <v>46001</v>
      </c>
      <c r="D33" s="17"/>
      <c r="E33" s="16">
        <f t="shared" si="31"/>
        <v>46007</v>
      </c>
      <c r="F33" s="17"/>
      <c r="G33" s="17">
        <v>5</v>
      </c>
      <c r="H33" s="17"/>
      <c r="I33" s="17">
        <v>0</v>
      </c>
      <c r="J33" s="17">
        <v>0</v>
      </c>
      <c r="K33" s="17">
        <v>0</v>
      </c>
      <c r="L33" s="17">
        <v>0</v>
      </c>
      <c r="M33" s="8">
        <f t="shared" si="10"/>
        <v>0</v>
      </c>
      <c r="N33" s="8">
        <f t="shared" si="11"/>
        <v>0</v>
      </c>
      <c r="O33" s="8"/>
      <c r="P33" s="17">
        <v>0</v>
      </c>
      <c r="Q33" s="17">
        <v>0</v>
      </c>
      <c r="R33" s="17">
        <v>2</v>
      </c>
      <c r="S33" s="17">
        <v>1</v>
      </c>
      <c r="T33" s="8">
        <f t="shared" si="18"/>
        <v>2</v>
      </c>
      <c r="U33" s="8">
        <f t="shared" si="12"/>
        <v>1</v>
      </c>
      <c r="V33" s="8"/>
      <c r="W33" s="17">
        <v>1</v>
      </c>
      <c r="X33" s="17">
        <v>0</v>
      </c>
      <c r="Y33" s="17">
        <v>5</v>
      </c>
      <c r="Z33" s="17">
        <v>0</v>
      </c>
      <c r="AA33" s="8">
        <f t="shared" si="5"/>
        <v>6</v>
      </c>
      <c r="AB33" s="8">
        <f t="shared" si="6"/>
        <v>0</v>
      </c>
      <c r="AC33" s="8"/>
      <c r="AD33" s="17">
        <v>1</v>
      </c>
      <c r="AE33" s="17">
        <v>1</v>
      </c>
      <c r="AF33" s="8">
        <f t="shared" si="13"/>
        <v>2</v>
      </c>
      <c r="AH33" s="17">
        <f t="shared" si="14"/>
        <v>10</v>
      </c>
      <c r="AI33" s="15">
        <v>50</v>
      </c>
      <c r="AK33" s="6" t="str">
        <f t="shared" si="22"/>
        <v>-</v>
      </c>
      <c r="AL33" s="18">
        <f t="shared" si="23"/>
        <v>0.5</v>
      </c>
      <c r="AM33" s="18">
        <f t="shared" si="24"/>
        <v>0</v>
      </c>
      <c r="AN33" s="218">
        <f t="shared" si="25"/>
        <v>2</v>
      </c>
    </row>
    <row r="34" spans="1:40" x14ac:dyDescent="0.2">
      <c r="A34" s="17">
        <v>51</v>
      </c>
      <c r="B34" s="17"/>
      <c r="C34" s="16"/>
      <c r="D34" s="17"/>
      <c r="E34" s="16"/>
      <c r="F34" s="17"/>
      <c r="G34" s="186"/>
      <c r="H34" s="186"/>
      <c r="I34" s="186"/>
      <c r="J34" s="186"/>
      <c r="K34" s="186"/>
      <c r="L34" s="186"/>
      <c r="M34" s="13"/>
      <c r="N34" s="13"/>
      <c r="O34" s="13"/>
      <c r="P34" s="186"/>
      <c r="Q34" s="186"/>
      <c r="R34" s="186"/>
      <c r="S34" s="186"/>
      <c r="T34" s="13"/>
      <c r="U34" s="13"/>
      <c r="V34" s="13"/>
      <c r="W34" s="186"/>
      <c r="X34" s="186"/>
      <c r="Y34" s="186"/>
      <c r="Z34" s="186"/>
      <c r="AA34" s="13"/>
      <c r="AB34" s="13"/>
      <c r="AC34" s="13"/>
      <c r="AD34" s="186"/>
      <c r="AE34" s="186"/>
      <c r="AF34" s="13"/>
      <c r="AH34" s="186"/>
      <c r="AI34" s="187"/>
      <c r="AJ34" s="187"/>
      <c r="AK34" s="213"/>
      <c r="AL34" s="214"/>
      <c r="AM34" s="214"/>
      <c r="AN34" s="219"/>
    </row>
    <row r="35" spans="1:40" x14ac:dyDescent="0.2">
      <c r="A35" s="8"/>
      <c r="B35" s="8"/>
      <c r="C35" s="8"/>
      <c r="D35" s="21"/>
      <c r="E35" s="22" t="s">
        <v>137</v>
      </c>
      <c r="F35" s="8"/>
      <c r="G35" s="13">
        <f>SUM(G5:G34)</f>
        <v>109</v>
      </c>
      <c r="H35" s="13"/>
      <c r="I35" s="13">
        <f t="shared" ref="I35:N35" si="32">SUM(I5:I34)</f>
        <v>450</v>
      </c>
      <c r="J35" s="13">
        <f t="shared" si="32"/>
        <v>45</v>
      </c>
      <c r="K35" s="23">
        <f t="shared" si="32"/>
        <v>829</v>
      </c>
      <c r="L35" s="13">
        <f t="shared" si="32"/>
        <v>132</v>
      </c>
      <c r="M35" s="23">
        <f t="shared" si="32"/>
        <v>1279</v>
      </c>
      <c r="N35" s="13">
        <f t="shared" si="32"/>
        <v>177</v>
      </c>
      <c r="O35" s="13"/>
      <c r="P35" s="13">
        <f t="shared" ref="P35:U35" si="33">SUM(P5:P34)</f>
        <v>3</v>
      </c>
      <c r="Q35" s="13">
        <f t="shared" si="33"/>
        <v>3</v>
      </c>
      <c r="R35" s="13">
        <f t="shared" si="33"/>
        <v>7</v>
      </c>
      <c r="S35" s="13">
        <f t="shared" si="33"/>
        <v>6</v>
      </c>
      <c r="T35" s="13">
        <f t="shared" si="33"/>
        <v>10</v>
      </c>
      <c r="U35" s="13">
        <f t="shared" si="33"/>
        <v>9</v>
      </c>
      <c r="V35" s="13"/>
      <c r="W35" s="13">
        <f t="shared" ref="W35:AB35" si="34">SUM(W5:W34)</f>
        <v>37</v>
      </c>
      <c r="X35" s="13">
        <f t="shared" si="34"/>
        <v>4</v>
      </c>
      <c r="Y35" s="13">
        <f t="shared" si="34"/>
        <v>388</v>
      </c>
      <c r="Z35" s="13">
        <f t="shared" si="34"/>
        <v>141</v>
      </c>
      <c r="AA35" s="13">
        <f t="shared" si="34"/>
        <v>425</v>
      </c>
      <c r="AB35" s="13">
        <f t="shared" si="34"/>
        <v>145</v>
      </c>
      <c r="AC35" s="13"/>
      <c r="AD35" s="13">
        <f>SUM(AD5:AD34)</f>
        <v>18</v>
      </c>
      <c r="AE35" s="13">
        <f>SUM(AE5:AE34)</f>
        <v>70</v>
      </c>
      <c r="AF35" s="13">
        <f>SUM(AF5:AF34)</f>
        <v>88</v>
      </c>
      <c r="AG35" s="32"/>
      <c r="AH35" s="228">
        <f t="shared" ref="AH35:AH46" si="35">AF35+AA35+T35+M35</f>
        <v>1802</v>
      </c>
      <c r="AI35" s="202"/>
      <c r="AJ35" s="202"/>
      <c r="AK35" s="229">
        <f>IFERROR(N35/M35,"-")</f>
        <v>0.13838936669272869</v>
      </c>
      <c r="AL35" s="229">
        <f>IFERROR(U35/T35,"-")</f>
        <v>0.9</v>
      </c>
      <c r="AM35" s="229">
        <f>IFERROR(AB35/AA35,"-")</f>
        <v>0.3411764705882353</v>
      </c>
      <c r="AN35" s="230">
        <f t="shared" ref="AN35" si="36">IFERROR(AH35/G35,"-")</f>
        <v>16.532110091743121</v>
      </c>
    </row>
    <row r="36" spans="1:40" x14ac:dyDescent="0.2">
      <c r="A36" s="13"/>
      <c r="B36" s="13"/>
      <c r="C36" s="13"/>
      <c r="D36" s="231"/>
      <c r="E36" s="14"/>
      <c r="F36" s="13"/>
      <c r="G36" s="13"/>
      <c r="H36" s="13"/>
      <c r="I36" s="13"/>
      <c r="J36" s="13"/>
      <c r="K36" s="23"/>
      <c r="L36" s="13"/>
      <c r="M36" s="2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23"/>
      <c r="AI36" s="12"/>
      <c r="AJ36" s="12"/>
      <c r="AK36" s="217"/>
      <c r="AL36" s="217"/>
      <c r="AM36" s="217"/>
      <c r="AN36" s="219"/>
    </row>
    <row r="37" spans="1:40" ht="14.25" x14ac:dyDescent="0.2">
      <c r="A37" s="24" t="s">
        <v>146</v>
      </c>
      <c r="B37" s="8"/>
      <c r="C37" s="8"/>
      <c r="D37" s="21"/>
      <c r="E37" s="10"/>
      <c r="F37" s="232"/>
      <c r="G37" s="8">
        <v>91</v>
      </c>
      <c r="H37" s="8"/>
      <c r="I37" s="8">
        <v>124</v>
      </c>
      <c r="J37" s="8">
        <v>23</v>
      </c>
      <c r="K37" s="8">
        <v>230</v>
      </c>
      <c r="L37" s="8">
        <v>38</v>
      </c>
      <c r="M37" s="8">
        <v>354</v>
      </c>
      <c r="N37" s="8">
        <v>61</v>
      </c>
      <c r="O37" s="8"/>
      <c r="P37" s="8">
        <v>5</v>
      </c>
      <c r="Q37" s="8">
        <v>4</v>
      </c>
      <c r="R37" s="8">
        <v>83</v>
      </c>
      <c r="S37" s="8">
        <v>54</v>
      </c>
      <c r="T37" s="8">
        <v>88</v>
      </c>
      <c r="U37" s="8">
        <v>58</v>
      </c>
      <c r="V37" s="8"/>
      <c r="W37" s="8">
        <v>31</v>
      </c>
      <c r="X37" s="8">
        <v>14</v>
      </c>
      <c r="Y37" s="8">
        <v>294</v>
      </c>
      <c r="Z37" s="8">
        <v>222</v>
      </c>
      <c r="AA37" s="28">
        <v>325</v>
      </c>
      <c r="AB37" s="28">
        <v>236</v>
      </c>
      <c r="AC37" s="8"/>
      <c r="AD37" s="8">
        <v>21</v>
      </c>
      <c r="AE37" s="8">
        <v>34</v>
      </c>
      <c r="AF37" s="8">
        <f t="shared" ref="AF37:AF46" si="37">AD37+AE37</f>
        <v>55</v>
      </c>
      <c r="AG37" s="7"/>
      <c r="AH37" s="27">
        <f>AF37+AA37+T37+M37</f>
        <v>822</v>
      </c>
      <c r="AK37" s="6">
        <f t="shared" ref="AK37:AK46" si="38">IFERROR(N37/M37,"-")</f>
        <v>0.17231638418079095</v>
      </c>
      <c r="AL37" s="6">
        <f t="shared" ref="AL37:AL46" si="39">IFERROR(U37/T37,"-")</f>
        <v>0.65909090909090906</v>
      </c>
      <c r="AM37" s="6">
        <f t="shared" ref="AM37:AM46" si="40">IFERROR(AB37/AA37,"-")</f>
        <v>0.72615384615384615</v>
      </c>
      <c r="AN37" s="218">
        <f t="shared" ref="AN37:AN48" si="41">AH37/G37</f>
        <v>9.0329670329670328</v>
      </c>
    </row>
    <row r="38" spans="1:40" ht="14.25" x14ac:dyDescent="0.2">
      <c r="A38" s="24" t="s">
        <v>148</v>
      </c>
      <c r="B38" s="8"/>
      <c r="C38" s="8"/>
      <c r="D38" s="21"/>
      <c r="E38" s="10"/>
      <c r="F38" s="8"/>
      <c r="G38" s="25">
        <v>116</v>
      </c>
      <c r="H38" s="25"/>
      <c r="I38" s="25">
        <v>390</v>
      </c>
      <c r="J38" s="25">
        <v>49</v>
      </c>
      <c r="K38" s="25">
        <v>2728</v>
      </c>
      <c r="L38" s="25">
        <v>239</v>
      </c>
      <c r="M38" s="25">
        <f>I38+K38</f>
        <v>3118</v>
      </c>
      <c r="N38" s="28">
        <f t="shared" ref="N38:N39" si="42">J38+L38</f>
        <v>288</v>
      </c>
      <c r="O38" s="25"/>
      <c r="P38" s="25">
        <v>17</v>
      </c>
      <c r="Q38" s="25">
        <v>14</v>
      </c>
      <c r="R38" s="25">
        <v>302</v>
      </c>
      <c r="S38" s="25">
        <v>286</v>
      </c>
      <c r="T38" s="25">
        <v>319</v>
      </c>
      <c r="U38" s="25">
        <v>300</v>
      </c>
      <c r="V38" s="25"/>
      <c r="W38" s="25">
        <v>15</v>
      </c>
      <c r="X38" s="25">
        <v>9</v>
      </c>
      <c r="Y38" s="25">
        <v>453</v>
      </c>
      <c r="Z38" s="25">
        <v>251</v>
      </c>
      <c r="AA38" s="28">
        <f t="shared" ref="AA38:AA46" si="43">W38+Y38</f>
        <v>468</v>
      </c>
      <c r="AB38" s="28">
        <f t="shared" ref="AB38:AB46" si="44">X38+Z38</f>
        <v>260</v>
      </c>
      <c r="AC38" s="25"/>
      <c r="AD38" s="25">
        <v>15</v>
      </c>
      <c r="AE38" s="25">
        <v>14</v>
      </c>
      <c r="AF38" s="13">
        <f t="shared" si="37"/>
        <v>29</v>
      </c>
      <c r="AG38" s="26"/>
      <c r="AH38" s="27">
        <f>AF38+AA38+T38+M38</f>
        <v>3934</v>
      </c>
      <c r="AK38" s="216">
        <f t="shared" si="38"/>
        <v>9.2366901860166772E-2</v>
      </c>
      <c r="AL38" s="216">
        <f t="shared" si="39"/>
        <v>0.94043887147335425</v>
      </c>
      <c r="AM38" s="216">
        <f t="shared" si="40"/>
        <v>0.55555555555555558</v>
      </c>
      <c r="AN38" s="218">
        <f t="shared" si="41"/>
        <v>33.913793103448278</v>
      </c>
    </row>
    <row r="39" spans="1:40" ht="14.25" x14ac:dyDescent="0.2">
      <c r="A39" s="24" t="s">
        <v>149</v>
      </c>
      <c r="B39" s="8"/>
      <c r="C39" s="8"/>
      <c r="D39" s="21"/>
      <c r="E39" s="10"/>
      <c r="F39" s="8"/>
      <c r="G39" s="25">
        <v>133</v>
      </c>
      <c r="H39" s="25"/>
      <c r="I39" s="25">
        <v>238</v>
      </c>
      <c r="J39" s="25">
        <v>12</v>
      </c>
      <c r="K39" s="25">
        <v>2957</v>
      </c>
      <c r="L39" s="25">
        <v>156</v>
      </c>
      <c r="M39" s="25">
        <f t="shared" ref="M39:M46" si="45">I39+K39</f>
        <v>3195</v>
      </c>
      <c r="N39" s="28">
        <f t="shared" si="42"/>
        <v>168</v>
      </c>
      <c r="O39" s="25"/>
      <c r="P39" s="25">
        <v>13</v>
      </c>
      <c r="Q39" s="25">
        <v>10</v>
      </c>
      <c r="R39" s="25">
        <v>239</v>
      </c>
      <c r="S39" s="25">
        <v>217</v>
      </c>
      <c r="T39" s="25">
        <v>252</v>
      </c>
      <c r="U39" s="25">
        <v>227</v>
      </c>
      <c r="V39" s="25"/>
      <c r="W39" s="25">
        <v>5</v>
      </c>
      <c r="X39" s="25">
        <v>3</v>
      </c>
      <c r="Y39" s="25">
        <v>216</v>
      </c>
      <c r="Z39" s="25">
        <v>72</v>
      </c>
      <c r="AA39" s="28">
        <f t="shared" si="43"/>
        <v>221</v>
      </c>
      <c r="AB39" s="28">
        <f t="shared" si="44"/>
        <v>75</v>
      </c>
      <c r="AC39" s="25"/>
      <c r="AD39" s="25">
        <v>4</v>
      </c>
      <c r="AE39" s="25">
        <v>18</v>
      </c>
      <c r="AF39" s="13">
        <f t="shared" si="37"/>
        <v>22</v>
      </c>
      <c r="AG39" s="26"/>
      <c r="AH39" s="27">
        <v>3690</v>
      </c>
      <c r="AK39" s="216">
        <f t="shared" si="38"/>
        <v>5.2582159624413143E-2</v>
      </c>
      <c r="AL39" s="216">
        <f t="shared" si="39"/>
        <v>0.90079365079365081</v>
      </c>
      <c r="AM39" s="216">
        <f t="shared" si="40"/>
        <v>0.33936651583710409</v>
      </c>
      <c r="AN39" s="218">
        <f t="shared" si="41"/>
        <v>27.744360902255639</v>
      </c>
    </row>
    <row r="40" spans="1:40" ht="14.25" x14ac:dyDescent="0.2">
      <c r="A40" s="24" t="s">
        <v>150</v>
      </c>
      <c r="B40" s="8"/>
      <c r="C40" s="8"/>
      <c r="D40" s="21"/>
      <c r="E40" s="10"/>
      <c r="F40" s="8"/>
      <c r="G40" s="8">
        <v>109</v>
      </c>
      <c r="H40" s="8"/>
      <c r="I40" s="8">
        <v>192</v>
      </c>
      <c r="J40" s="8">
        <v>1</v>
      </c>
      <c r="K40" s="28">
        <v>1656</v>
      </c>
      <c r="L40" s="8">
        <v>313</v>
      </c>
      <c r="M40" s="25">
        <f t="shared" si="45"/>
        <v>1848</v>
      </c>
      <c r="N40" s="28">
        <f t="shared" ref="N40:N46" si="46">J40+L40</f>
        <v>314</v>
      </c>
      <c r="O40" s="8"/>
      <c r="P40" s="8">
        <v>16</v>
      </c>
      <c r="Q40" s="8">
        <v>16</v>
      </c>
      <c r="R40" s="8">
        <v>357</v>
      </c>
      <c r="S40" s="8">
        <v>337</v>
      </c>
      <c r="T40" s="8">
        <v>373</v>
      </c>
      <c r="U40" s="8">
        <v>353</v>
      </c>
      <c r="V40" s="8"/>
      <c r="W40" s="8">
        <v>4</v>
      </c>
      <c r="X40" s="8">
        <v>0</v>
      </c>
      <c r="Y40" s="8">
        <v>218</v>
      </c>
      <c r="Z40" s="8">
        <v>110</v>
      </c>
      <c r="AA40" s="28">
        <f t="shared" si="43"/>
        <v>222</v>
      </c>
      <c r="AB40" s="28">
        <f t="shared" si="44"/>
        <v>110</v>
      </c>
      <c r="AC40" s="8"/>
      <c r="AD40" s="8">
        <v>0</v>
      </c>
      <c r="AE40" s="8">
        <v>11</v>
      </c>
      <c r="AF40" s="13">
        <f t="shared" si="37"/>
        <v>11</v>
      </c>
      <c r="AG40" s="7"/>
      <c r="AH40" s="29">
        <f t="shared" si="35"/>
        <v>2454</v>
      </c>
      <c r="AK40" s="216">
        <f t="shared" si="38"/>
        <v>0.16991341991341991</v>
      </c>
      <c r="AL40" s="216">
        <f t="shared" si="39"/>
        <v>0.9463806970509383</v>
      </c>
      <c r="AM40" s="216">
        <f t="shared" si="40"/>
        <v>0.49549549549549549</v>
      </c>
      <c r="AN40" s="218">
        <f t="shared" si="41"/>
        <v>22.513761467889907</v>
      </c>
    </row>
    <row r="41" spans="1:40" ht="14.25" x14ac:dyDescent="0.2">
      <c r="A41" s="24" t="s">
        <v>54</v>
      </c>
      <c r="B41" s="8"/>
      <c r="C41" s="8"/>
      <c r="D41" s="21"/>
      <c r="E41" s="10"/>
      <c r="F41" s="8"/>
      <c r="G41" s="8">
        <v>73</v>
      </c>
      <c r="H41" s="8"/>
      <c r="I41" s="8">
        <v>91</v>
      </c>
      <c r="J41" s="8">
        <v>10</v>
      </c>
      <c r="K41" s="8">
        <v>320</v>
      </c>
      <c r="L41" s="8">
        <v>58</v>
      </c>
      <c r="M41" s="25">
        <f t="shared" si="45"/>
        <v>411</v>
      </c>
      <c r="N41" s="28">
        <f t="shared" si="46"/>
        <v>68</v>
      </c>
      <c r="O41" s="8"/>
      <c r="P41" s="8">
        <v>4</v>
      </c>
      <c r="Q41" s="8">
        <v>4</v>
      </c>
      <c r="R41" s="8">
        <v>0</v>
      </c>
      <c r="S41" s="8">
        <v>0</v>
      </c>
      <c r="T41" s="8">
        <v>4</v>
      </c>
      <c r="U41" s="8">
        <v>4</v>
      </c>
      <c r="V41" s="8"/>
      <c r="W41" s="8">
        <v>5</v>
      </c>
      <c r="X41" s="8">
        <v>3</v>
      </c>
      <c r="Y41" s="8">
        <v>73</v>
      </c>
      <c r="Z41" s="8">
        <v>12</v>
      </c>
      <c r="AA41" s="28">
        <f t="shared" si="43"/>
        <v>78</v>
      </c>
      <c r="AB41" s="28">
        <f t="shared" si="44"/>
        <v>15</v>
      </c>
      <c r="AC41" s="8"/>
      <c r="AD41" s="8">
        <v>0</v>
      </c>
      <c r="AE41" s="8">
        <v>14</v>
      </c>
      <c r="AF41" s="13">
        <f t="shared" si="37"/>
        <v>14</v>
      </c>
      <c r="AG41" s="7"/>
      <c r="AH41" s="29">
        <f t="shared" si="35"/>
        <v>507</v>
      </c>
      <c r="AK41" s="216">
        <f t="shared" si="38"/>
        <v>0.16545012165450121</v>
      </c>
      <c r="AL41" s="216">
        <f t="shared" si="39"/>
        <v>1</v>
      </c>
      <c r="AM41" s="216">
        <f t="shared" si="40"/>
        <v>0.19230769230769232</v>
      </c>
      <c r="AN41" s="218">
        <f t="shared" si="41"/>
        <v>6.9452054794520546</v>
      </c>
    </row>
    <row r="42" spans="1:40" ht="14.25" x14ac:dyDescent="0.2">
      <c r="A42" s="24" t="s">
        <v>55</v>
      </c>
      <c r="B42" s="8"/>
      <c r="C42" s="8"/>
      <c r="D42" s="21"/>
      <c r="E42" s="10"/>
      <c r="F42" s="8"/>
      <c r="G42" s="8">
        <v>50</v>
      </c>
      <c r="H42" s="8"/>
      <c r="I42" s="8">
        <v>76</v>
      </c>
      <c r="J42" s="8">
        <v>6</v>
      </c>
      <c r="K42" s="8">
        <v>470</v>
      </c>
      <c r="L42" s="8">
        <v>98</v>
      </c>
      <c r="M42" s="25">
        <f t="shared" si="45"/>
        <v>546</v>
      </c>
      <c r="N42" s="28">
        <f t="shared" si="46"/>
        <v>104</v>
      </c>
      <c r="O42" s="8"/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/>
      <c r="W42" s="8">
        <v>2</v>
      </c>
      <c r="X42" s="8">
        <v>0</v>
      </c>
      <c r="Y42" s="8">
        <v>118</v>
      </c>
      <c r="Z42" s="8">
        <v>17</v>
      </c>
      <c r="AA42" s="28">
        <f t="shared" si="43"/>
        <v>120</v>
      </c>
      <c r="AB42" s="28">
        <f t="shared" si="44"/>
        <v>17</v>
      </c>
      <c r="AC42" s="8"/>
      <c r="AD42" s="8">
        <v>9</v>
      </c>
      <c r="AE42" s="8">
        <v>14</v>
      </c>
      <c r="AF42" s="13">
        <f t="shared" si="37"/>
        <v>23</v>
      </c>
      <c r="AG42" s="7"/>
      <c r="AH42" s="29">
        <f t="shared" si="35"/>
        <v>689</v>
      </c>
      <c r="AK42" s="216">
        <f t="shared" si="38"/>
        <v>0.19047619047619047</v>
      </c>
      <c r="AL42" s="216" t="str">
        <f t="shared" si="39"/>
        <v>-</v>
      </c>
      <c r="AM42" s="216">
        <f t="shared" si="40"/>
        <v>0.14166666666666666</v>
      </c>
      <c r="AN42" s="218">
        <f t="shared" si="41"/>
        <v>13.78</v>
      </c>
    </row>
    <row r="43" spans="1:40" s="7" customFormat="1" ht="14.25" x14ac:dyDescent="0.2">
      <c r="A43" s="24" t="s">
        <v>56</v>
      </c>
      <c r="B43" s="8"/>
      <c r="C43" s="8"/>
      <c r="D43" s="21"/>
      <c r="E43" s="24"/>
      <c r="F43" s="8"/>
      <c r="G43" s="28">
        <v>72</v>
      </c>
      <c r="H43" s="28"/>
      <c r="I43" s="28">
        <v>37</v>
      </c>
      <c r="J43" s="28">
        <v>4</v>
      </c>
      <c r="K43" s="28">
        <v>1042</v>
      </c>
      <c r="L43" s="28">
        <v>185</v>
      </c>
      <c r="M43" s="25">
        <f t="shared" si="45"/>
        <v>1079</v>
      </c>
      <c r="N43" s="28">
        <f t="shared" si="46"/>
        <v>189</v>
      </c>
      <c r="O43" s="28"/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/>
      <c r="W43" s="28">
        <v>2</v>
      </c>
      <c r="X43" s="28">
        <v>0</v>
      </c>
      <c r="Y43" s="28">
        <v>64</v>
      </c>
      <c r="Z43" s="28">
        <v>26</v>
      </c>
      <c r="AA43" s="28">
        <f t="shared" si="43"/>
        <v>66</v>
      </c>
      <c r="AB43" s="28">
        <f t="shared" si="44"/>
        <v>26</v>
      </c>
      <c r="AC43" s="28"/>
      <c r="AD43" s="28">
        <v>2</v>
      </c>
      <c r="AE43" s="28">
        <v>16</v>
      </c>
      <c r="AF43" s="13">
        <f t="shared" si="37"/>
        <v>18</v>
      </c>
      <c r="AH43" s="29">
        <f t="shared" si="35"/>
        <v>1163</v>
      </c>
      <c r="AI43" s="15"/>
      <c r="AJ43" s="15"/>
      <c r="AK43" s="216">
        <f t="shared" si="38"/>
        <v>0.17516218721037999</v>
      </c>
      <c r="AL43" s="216" t="str">
        <f t="shared" si="39"/>
        <v>-</v>
      </c>
      <c r="AM43" s="216">
        <f t="shared" si="40"/>
        <v>0.39393939393939392</v>
      </c>
      <c r="AN43" s="218">
        <f t="shared" si="41"/>
        <v>16.152777777777779</v>
      </c>
    </row>
    <row r="44" spans="1:40" s="7" customFormat="1" ht="14.25" x14ac:dyDescent="0.2">
      <c r="A44" s="24" t="s">
        <v>57</v>
      </c>
      <c r="B44" s="24"/>
      <c r="C44" s="24"/>
      <c r="D44" s="24"/>
      <c r="E44" s="24"/>
      <c r="G44" s="28">
        <v>48</v>
      </c>
      <c r="H44" s="28"/>
      <c r="I44" s="28">
        <v>58</v>
      </c>
      <c r="J44" s="28">
        <v>7</v>
      </c>
      <c r="K44" s="28">
        <v>150</v>
      </c>
      <c r="L44" s="28">
        <v>19</v>
      </c>
      <c r="M44" s="25">
        <f t="shared" si="45"/>
        <v>208</v>
      </c>
      <c r="N44" s="28">
        <f t="shared" si="46"/>
        <v>26</v>
      </c>
      <c r="O44" s="28"/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/>
      <c r="W44" s="28">
        <v>3</v>
      </c>
      <c r="X44" s="28">
        <v>0</v>
      </c>
      <c r="Y44" s="28">
        <v>49</v>
      </c>
      <c r="Z44" s="28">
        <v>24</v>
      </c>
      <c r="AA44" s="28">
        <f t="shared" si="43"/>
        <v>52</v>
      </c>
      <c r="AB44" s="28">
        <f t="shared" si="44"/>
        <v>24</v>
      </c>
      <c r="AC44" s="28"/>
      <c r="AD44" s="28">
        <v>2</v>
      </c>
      <c r="AE44" s="28">
        <v>7</v>
      </c>
      <c r="AF44" s="13">
        <f t="shared" si="37"/>
        <v>9</v>
      </c>
      <c r="AH44" s="29">
        <f t="shared" si="35"/>
        <v>269</v>
      </c>
      <c r="AK44" s="216">
        <f t="shared" si="38"/>
        <v>0.125</v>
      </c>
      <c r="AL44" s="216" t="str">
        <f t="shared" si="39"/>
        <v>-</v>
      </c>
      <c r="AM44" s="216">
        <f t="shared" si="40"/>
        <v>0.46153846153846156</v>
      </c>
      <c r="AN44" s="218">
        <f t="shared" si="41"/>
        <v>5.604166666666667</v>
      </c>
    </row>
    <row r="45" spans="1:40" s="7" customFormat="1" ht="14.25" x14ac:dyDescent="0.2">
      <c r="A45" s="24" t="s">
        <v>58</v>
      </c>
      <c r="B45" s="24"/>
      <c r="C45" s="24"/>
      <c r="D45" s="24"/>
      <c r="E45" s="24"/>
      <c r="G45" s="28">
        <v>52</v>
      </c>
      <c r="H45" s="28"/>
      <c r="I45" s="28">
        <v>45</v>
      </c>
      <c r="J45" s="28">
        <v>9</v>
      </c>
      <c r="K45" s="28">
        <v>109</v>
      </c>
      <c r="L45" s="28">
        <v>13</v>
      </c>
      <c r="M45" s="25">
        <f t="shared" si="45"/>
        <v>154</v>
      </c>
      <c r="N45" s="28">
        <f t="shared" si="46"/>
        <v>22</v>
      </c>
      <c r="O45" s="28"/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/>
      <c r="W45" s="28">
        <v>4</v>
      </c>
      <c r="X45" s="28">
        <v>0</v>
      </c>
      <c r="Y45" s="28">
        <v>59</v>
      </c>
      <c r="Z45" s="28">
        <v>41</v>
      </c>
      <c r="AA45" s="28">
        <f t="shared" si="43"/>
        <v>63</v>
      </c>
      <c r="AB45" s="28">
        <f t="shared" si="44"/>
        <v>41</v>
      </c>
      <c r="AC45" s="28"/>
      <c r="AD45" s="28">
        <v>1</v>
      </c>
      <c r="AE45" s="28">
        <v>9</v>
      </c>
      <c r="AF45" s="13">
        <f t="shared" si="37"/>
        <v>10</v>
      </c>
      <c r="AH45" s="29">
        <f t="shared" si="35"/>
        <v>227</v>
      </c>
      <c r="AK45" s="216">
        <f t="shared" si="38"/>
        <v>0.14285714285714285</v>
      </c>
      <c r="AL45" s="216" t="str">
        <f t="shared" si="39"/>
        <v>-</v>
      </c>
      <c r="AM45" s="216">
        <f t="shared" si="40"/>
        <v>0.65079365079365081</v>
      </c>
      <c r="AN45" s="218">
        <f t="shared" si="41"/>
        <v>4.365384615384615</v>
      </c>
    </row>
    <row r="46" spans="1:40" ht="14.25" x14ac:dyDescent="0.2">
      <c r="A46" s="24" t="s">
        <v>59</v>
      </c>
      <c r="B46" s="24"/>
      <c r="C46" s="24"/>
      <c r="D46" s="24"/>
      <c r="E46" s="24"/>
      <c r="F46" s="7"/>
      <c r="G46" s="23">
        <v>49</v>
      </c>
      <c r="H46" s="23"/>
      <c r="I46" s="23">
        <v>21</v>
      </c>
      <c r="J46" s="23">
        <v>3</v>
      </c>
      <c r="K46" s="23">
        <v>322</v>
      </c>
      <c r="L46" s="23">
        <v>54</v>
      </c>
      <c r="M46" s="25">
        <f t="shared" si="45"/>
        <v>343</v>
      </c>
      <c r="N46" s="28">
        <f t="shared" si="46"/>
        <v>57</v>
      </c>
      <c r="O46" s="28"/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/>
      <c r="W46" s="23">
        <v>2</v>
      </c>
      <c r="X46" s="23">
        <v>0</v>
      </c>
      <c r="Y46" s="23">
        <v>54</v>
      </c>
      <c r="Z46" s="23">
        <v>5</v>
      </c>
      <c r="AA46" s="28">
        <f t="shared" si="43"/>
        <v>56</v>
      </c>
      <c r="AB46" s="28">
        <f t="shared" si="44"/>
        <v>5</v>
      </c>
      <c r="AC46" s="28"/>
      <c r="AD46" s="23">
        <v>12</v>
      </c>
      <c r="AE46" s="23">
        <v>57</v>
      </c>
      <c r="AF46" s="13">
        <f t="shared" si="37"/>
        <v>69</v>
      </c>
      <c r="AG46" s="7"/>
      <c r="AH46" s="215">
        <f t="shared" si="35"/>
        <v>468</v>
      </c>
      <c r="AI46" s="7"/>
      <c r="AJ46" s="7"/>
      <c r="AK46" s="217">
        <f t="shared" si="38"/>
        <v>0.16618075801749271</v>
      </c>
      <c r="AL46" s="217" t="str">
        <f t="shared" si="39"/>
        <v>-</v>
      </c>
      <c r="AM46" s="217">
        <f t="shared" si="40"/>
        <v>8.9285714285714288E-2</v>
      </c>
      <c r="AN46" s="219">
        <f t="shared" si="41"/>
        <v>9.5510204081632661</v>
      </c>
    </row>
    <row r="47" spans="1:40" x14ac:dyDescent="0.2">
      <c r="A47" s="24"/>
      <c r="B47" s="24"/>
      <c r="C47" s="24"/>
      <c r="D47" s="24"/>
      <c r="E47" s="30" t="s">
        <v>60</v>
      </c>
      <c r="F47" s="7"/>
      <c r="G47" s="28">
        <f>AVERAGE(G37:G40)</f>
        <v>112.25</v>
      </c>
      <c r="H47" s="28"/>
      <c r="I47" s="28">
        <f>AVERAGE(I37:I40)</f>
        <v>236</v>
      </c>
      <c r="J47" s="28">
        <f>AVERAGE(J37:J40)</f>
        <v>21.25</v>
      </c>
      <c r="K47" s="28">
        <f t="shared" ref="K47:AA47" si="47">AVERAGE(K37:K40)</f>
        <v>1892.75</v>
      </c>
      <c r="L47" s="28">
        <f t="shared" si="47"/>
        <v>186.5</v>
      </c>
      <c r="M47" s="28">
        <f t="shared" si="47"/>
        <v>2128.75</v>
      </c>
      <c r="N47" s="28">
        <f t="shared" si="47"/>
        <v>207.75</v>
      </c>
      <c r="O47" s="28"/>
      <c r="P47" s="28">
        <f t="shared" si="47"/>
        <v>12.75</v>
      </c>
      <c r="Q47" s="28">
        <f t="shared" si="47"/>
        <v>11</v>
      </c>
      <c r="R47" s="28">
        <f t="shared" si="47"/>
        <v>245.25</v>
      </c>
      <c r="S47" s="28">
        <f t="shared" si="47"/>
        <v>223.5</v>
      </c>
      <c r="T47" s="28">
        <f t="shared" si="47"/>
        <v>258</v>
      </c>
      <c r="U47" s="28">
        <f t="shared" si="47"/>
        <v>234.5</v>
      </c>
      <c r="V47" s="28" t="e">
        <f t="shared" si="47"/>
        <v>#DIV/0!</v>
      </c>
      <c r="W47" s="28">
        <f t="shared" si="47"/>
        <v>13.75</v>
      </c>
      <c r="X47" s="28">
        <f t="shared" si="47"/>
        <v>6.5</v>
      </c>
      <c r="Y47" s="28">
        <f t="shared" si="47"/>
        <v>295.25</v>
      </c>
      <c r="Z47" s="28">
        <f t="shared" si="47"/>
        <v>163.75</v>
      </c>
      <c r="AA47" s="227">
        <f t="shared" si="47"/>
        <v>309</v>
      </c>
      <c r="AB47" s="227">
        <f>AVERAGE(AB37:AB40)</f>
        <v>170.25</v>
      </c>
      <c r="AC47" s="28"/>
      <c r="AD47" s="28">
        <f>AVERAGE(AD37:AD40)</f>
        <v>10</v>
      </c>
      <c r="AE47" s="28">
        <f t="shared" ref="AE47:AF47" si="48">AVERAGE(AE37:AE40)</f>
        <v>19.25</v>
      </c>
      <c r="AF47" s="28">
        <f t="shared" si="48"/>
        <v>29.25</v>
      </c>
      <c r="AG47" s="28"/>
      <c r="AH47" s="28">
        <f>AVERAGE(AH37:AH40)</f>
        <v>2725</v>
      </c>
      <c r="AI47" s="28"/>
      <c r="AJ47" s="28"/>
      <c r="AK47" s="211">
        <f>AVERAGE(AK37:AK40)</f>
        <v>0.12179471639469769</v>
      </c>
      <c r="AL47" s="211">
        <f>AVERAGE(AL37:AL40)</f>
        <v>0.86167603210221311</v>
      </c>
      <c r="AM47" s="211">
        <f>AVERAGE(AM37:AM40)</f>
        <v>0.52914285326050026</v>
      </c>
      <c r="AN47" s="220">
        <f>AH47/G47</f>
        <v>24.276169265033406</v>
      </c>
    </row>
    <row r="48" spans="1:40" x14ac:dyDescent="0.2">
      <c r="A48" s="24"/>
      <c r="B48" s="24"/>
      <c r="C48" s="24"/>
      <c r="D48" s="24"/>
      <c r="E48" s="30" t="s">
        <v>61</v>
      </c>
      <c r="F48" s="7"/>
      <c r="G48" s="28">
        <f>AVERAGE(G41:G46)</f>
        <v>57.333333333333336</v>
      </c>
      <c r="H48" s="28"/>
      <c r="I48" s="28">
        <f t="shared" ref="I48:AF48" si="49">AVERAGE(I41:I46)</f>
        <v>54.666666666666664</v>
      </c>
      <c r="J48" s="28">
        <f t="shared" si="49"/>
        <v>6.5</v>
      </c>
      <c r="K48" s="28">
        <f t="shared" si="49"/>
        <v>402.16666666666669</v>
      </c>
      <c r="L48" s="28">
        <f t="shared" si="49"/>
        <v>71.166666666666671</v>
      </c>
      <c r="M48" s="28">
        <f t="shared" si="49"/>
        <v>456.83333333333331</v>
      </c>
      <c r="N48" s="28">
        <f t="shared" si="49"/>
        <v>77.666666666666671</v>
      </c>
      <c r="O48" s="28"/>
      <c r="P48" s="28">
        <f t="shared" si="49"/>
        <v>0.66666666666666663</v>
      </c>
      <c r="Q48" s="28">
        <f t="shared" si="49"/>
        <v>0.66666666666666663</v>
      </c>
      <c r="R48" s="28">
        <f t="shared" si="49"/>
        <v>0</v>
      </c>
      <c r="S48" s="28">
        <f t="shared" si="49"/>
        <v>0</v>
      </c>
      <c r="T48" s="28">
        <f t="shared" si="49"/>
        <v>0.66666666666666663</v>
      </c>
      <c r="U48" s="28">
        <f t="shared" si="49"/>
        <v>0.66666666666666663</v>
      </c>
      <c r="V48" s="28"/>
      <c r="W48" s="28">
        <f t="shared" si="49"/>
        <v>3</v>
      </c>
      <c r="X48" s="28">
        <f t="shared" si="49"/>
        <v>0.5</v>
      </c>
      <c r="Y48" s="28">
        <f t="shared" si="49"/>
        <v>69.5</v>
      </c>
      <c r="Z48" s="28">
        <f t="shared" si="49"/>
        <v>20.833333333333332</v>
      </c>
      <c r="AA48" s="28">
        <f t="shared" si="49"/>
        <v>72.5</v>
      </c>
      <c r="AB48" s="28">
        <f t="shared" si="49"/>
        <v>21.333333333333332</v>
      </c>
      <c r="AC48" s="28"/>
      <c r="AD48" s="28">
        <f t="shared" si="49"/>
        <v>4.333333333333333</v>
      </c>
      <c r="AE48" s="28">
        <f t="shared" si="49"/>
        <v>19.5</v>
      </c>
      <c r="AF48" s="28">
        <f t="shared" si="49"/>
        <v>23.833333333333332</v>
      </c>
      <c r="AG48" s="28"/>
      <c r="AH48" s="28">
        <f t="shared" ref="AH48:AM48" si="50">AVERAGE(AH41:AH46)</f>
        <v>553.83333333333337</v>
      </c>
      <c r="AI48" s="28"/>
      <c r="AJ48" s="28"/>
      <c r="AK48" s="211">
        <f t="shared" si="50"/>
        <v>0.16085440003595122</v>
      </c>
      <c r="AL48" s="211">
        <f t="shared" si="50"/>
        <v>1</v>
      </c>
      <c r="AM48" s="211">
        <f t="shared" si="50"/>
        <v>0.32158859658859656</v>
      </c>
      <c r="AN48" s="220">
        <f t="shared" si="41"/>
        <v>9.6598837209302335</v>
      </c>
    </row>
    <row r="49" spans="1:32" x14ac:dyDescent="0.2">
      <c r="A49" s="17" t="s">
        <v>62</v>
      </c>
      <c r="B49" s="17"/>
      <c r="C49" s="31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x14ac:dyDescent="0.2">
      <c r="A50" s="31" t="s">
        <v>63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 spans="1:32" x14ac:dyDescent="0.2">
      <c r="A51" s="31" t="s">
        <v>64</v>
      </c>
      <c r="B51" s="31"/>
      <c r="C51" s="31"/>
      <c r="D51" s="31"/>
      <c r="E51" s="31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 spans="1:32" x14ac:dyDescent="0.2">
      <c r="A52" s="31" t="s">
        <v>135</v>
      </c>
      <c r="B52" s="31"/>
      <c r="C52" s="31"/>
      <c r="D52" s="31"/>
      <c r="E52" s="31"/>
    </row>
    <row r="53" spans="1:32" x14ac:dyDescent="0.2">
      <c r="A53" s="31" t="s">
        <v>65</v>
      </c>
      <c r="B53" s="31"/>
      <c r="C53" s="31"/>
      <c r="D53" s="31"/>
      <c r="E53" s="31"/>
    </row>
    <row r="54" spans="1:32" x14ac:dyDescent="0.2">
      <c r="A54" s="262" t="s">
        <v>147</v>
      </c>
      <c r="B54" s="262"/>
      <c r="C54" s="262"/>
      <c r="D54" s="262"/>
      <c r="E54" s="262"/>
      <c r="F54" s="262"/>
      <c r="G54" s="262"/>
      <c r="H54" s="262"/>
      <c r="I54" s="262"/>
      <c r="J54" s="262"/>
      <c r="K54" s="262"/>
      <c r="L54" s="262"/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2"/>
      <c r="X54" s="262"/>
      <c r="Y54" s="262"/>
      <c r="Z54" s="262"/>
      <c r="AA54" s="262"/>
      <c r="AB54" s="262"/>
      <c r="AC54" s="262"/>
      <c r="AD54" s="262"/>
      <c r="AE54" s="262"/>
      <c r="AF54" s="262"/>
    </row>
    <row r="55" spans="1:32" x14ac:dyDescent="0.2">
      <c r="A55" s="15" t="s">
        <v>143</v>
      </c>
      <c r="B55" s="31"/>
      <c r="C55" s="31"/>
      <c r="D55" s="31"/>
      <c r="E55" s="31"/>
    </row>
    <row r="57" spans="1:32" x14ac:dyDescent="0.2">
      <c r="K57" s="17"/>
    </row>
  </sheetData>
  <mergeCells count="5">
    <mergeCell ref="AD2:AF3"/>
    <mergeCell ref="A54:AF54"/>
    <mergeCell ref="K3:L3"/>
    <mergeCell ref="AK3:AM3"/>
    <mergeCell ref="AN3:AN4"/>
  </mergeCells>
  <phoneticPr fontId="16" type="noConversion"/>
  <printOptions horizontalCentered="1"/>
  <pageMargins left="0.25" right="0.25" top="0.25" bottom="0.25" header="0.05" footer="0.05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31D1-4238-48B6-8581-5DAE63935634}">
  <sheetPr>
    <pageSetUpPr fitToPage="1"/>
  </sheetPr>
  <dimension ref="A1:AH37"/>
  <sheetViews>
    <sheetView workbookViewId="0">
      <selection activeCell="O14" sqref="O14"/>
    </sheetView>
  </sheetViews>
  <sheetFormatPr defaultRowHeight="12.75" x14ac:dyDescent="0.2"/>
  <cols>
    <col min="1" max="1" width="6" customWidth="1"/>
    <col min="2" max="2" width="2.28515625" customWidth="1"/>
    <col min="3" max="3" width="9.85546875" customWidth="1"/>
    <col min="4" max="4" width="2.5703125" customWidth="1"/>
    <col min="5" max="5" width="9.140625" customWidth="1"/>
    <col min="6" max="6" width="2.5703125" customWidth="1"/>
    <col min="7" max="7" width="5.7109375" customWidth="1"/>
    <col min="8" max="8" width="2.5703125" customWidth="1"/>
    <col min="9" max="9" width="5.28515625" bestFit="1" customWidth="1"/>
    <col min="10" max="11" width="5.5703125" bestFit="1" customWidth="1"/>
    <col min="12" max="12" width="5.5703125" customWidth="1"/>
    <col min="13" max="13" width="6.7109375" customWidth="1"/>
    <col min="14" max="14" width="5.5703125" customWidth="1"/>
    <col min="15" max="15" width="1.7109375" customWidth="1"/>
    <col min="16" max="16" width="5.28515625" bestFit="1" customWidth="1"/>
    <col min="17" max="17" width="5.7109375" customWidth="1"/>
    <col min="18" max="18" width="5.28515625" bestFit="1" customWidth="1"/>
    <col min="19" max="19" width="6" customWidth="1"/>
    <col min="20" max="20" width="6.7109375" customWidth="1"/>
    <col min="21" max="21" width="6.28515625" customWidth="1"/>
    <col min="22" max="22" width="1.7109375" customWidth="1"/>
    <col min="23" max="23" width="5.28515625" bestFit="1" customWidth="1"/>
    <col min="24" max="25" width="5.5703125" bestFit="1" customWidth="1"/>
    <col min="26" max="26" width="5.5703125" customWidth="1"/>
    <col min="27" max="27" width="6.7109375" customWidth="1"/>
    <col min="28" max="28" width="5.5703125" customWidth="1"/>
    <col min="29" max="29" width="3.42578125" customWidth="1"/>
    <col min="30" max="30" width="7.28515625" style="46" customWidth="1"/>
    <col min="31" max="32" width="6.140625" style="46" customWidth="1"/>
    <col min="33" max="33" width="8.28515625" style="46" bestFit="1" customWidth="1"/>
    <col min="34" max="34" width="9.140625" style="46"/>
  </cols>
  <sheetData>
    <row r="1" spans="1:34" s="33" customFormat="1" ht="14.25" x14ac:dyDescent="0.2">
      <c r="A1" s="33" t="s">
        <v>136</v>
      </c>
      <c r="AD1" s="36"/>
      <c r="AE1" s="36"/>
      <c r="AF1" s="36"/>
      <c r="AG1" s="36"/>
      <c r="AH1" s="36"/>
    </row>
    <row r="2" spans="1:34" s="33" customFormat="1" x14ac:dyDescent="0.2">
      <c r="I2" s="34" t="s">
        <v>34</v>
      </c>
      <c r="J2" s="34"/>
      <c r="K2" s="34"/>
      <c r="L2" s="34"/>
      <c r="M2" s="34"/>
      <c r="N2" s="34"/>
      <c r="O2" s="35"/>
      <c r="P2" s="34" t="s">
        <v>35</v>
      </c>
      <c r="Q2" s="34"/>
      <c r="R2" s="34"/>
      <c r="S2" s="34"/>
      <c r="T2" s="34"/>
      <c r="U2" s="34"/>
      <c r="W2" s="34" t="s">
        <v>36</v>
      </c>
      <c r="X2" s="34"/>
      <c r="Y2" s="34"/>
      <c r="Z2" s="34"/>
      <c r="AA2" s="34"/>
      <c r="AB2" s="34"/>
      <c r="AD2" s="36"/>
      <c r="AE2" s="257" t="s">
        <v>127</v>
      </c>
      <c r="AF2" s="257"/>
      <c r="AG2" s="257"/>
      <c r="AH2" s="36"/>
    </row>
    <row r="3" spans="1:34" s="33" customFormat="1" ht="14.25" x14ac:dyDescent="0.2">
      <c r="A3" s="33" t="s">
        <v>38</v>
      </c>
      <c r="G3" s="36" t="s">
        <v>39</v>
      </c>
      <c r="I3" s="37" t="s">
        <v>40</v>
      </c>
      <c r="J3" s="37"/>
      <c r="K3" s="37" t="s">
        <v>42</v>
      </c>
      <c r="L3" s="37"/>
      <c r="M3" s="37" t="s">
        <v>41</v>
      </c>
      <c r="N3" s="37"/>
      <c r="P3" s="37" t="s">
        <v>40</v>
      </c>
      <c r="Q3" s="37"/>
      <c r="R3" s="37" t="s">
        <v>42</v>
      </c>
      <c r="S3" s="37"/>
      <c r="T3" s="37" t="s">
        <v>41</v>
      </c>
      <c r="U3" s="37"/>
      <c r="W3" s="37" t="s">
        <v>66</v>
      </c>
      <c r="X3" s="37"/>
      <c r="Y3" s="37" t="s">
        <v>42</v>
      </c>
      <c r="Z3" s="37"/>
      <c r="AA3" s="37" t="s">
        <v>41</v>
      </c>
      <c r="AB3" s="37"/>
      <c r="AD3" s="36"/>
      <c r="AE3" s="268" t="s">
        <v>67</v>
      </c>
      <c r="AF3" s="268" t="s">
        <v>68</v>
      </c>
      <c r="AG3" s="268" t="s">
        <v>69</v>
      </c>
      <c r="AH3" s="36"/>
    </row>
    <row r="4" spans="1:34" s="33" customFormat="1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45</v>
      </c>
      <c r="H4" s="39"/>
      <c r="I4" s="39" t="s">
        <v>46</v>
      </c>
      <c r="J4" s="39" t="s">
        <v>47</v>
      </c>
      <c r="K4" s="39" t="s">
        <v>46</v>
      </c>
      <c r="L4" s="39" t="s">
        <v>47</v>
      </c>
      <c r="M4" s="39" t="s">
        <v>46</v>
      </c>
      <c r="N4" s="39" t="s">
        <v>48</v>
      </c>
      <c r="O4" s="39"/>
      <c r="P4" s="39" t="s">
        <v>46</v>
      </c>
      <c r="Q4" s="39" t="s">
        <v>48</v>
      </c>
      <c r="R4" s="39" t="s">
        <v>46</v>
      </c>
      <c r="S4" s="39" t="s">
        <v>48</v>
      </c>
      <c r="T4" s="39" t="s">
        <v>46</v>
      </c>
      <c r="U4" s="39" t="s">
        <v>48</v>
      </c>
      <c r="V4" s="39"/>
      <c r="W4" s="39" t="s">
        <v>46</v>
      </c>
      <c r="X4" s="39" t="s">
        <v>47</v>
      </c>
      <c r="Y4" s="39" t="s">
        <v>46</v>
      </c>
      <c r="Z4" s="39" t="s">
        <v>47</v>
      </c>
      <c r="AA4" s="39" t="s">
        <v>46</v>
      </c>
      <c r="AB4" s="39" t="s">
        <v>47</v>
      </c>
      <c r="AD4" s="39" t="s">
        <v>51</v>
      </c>
      <c r="AE4" s="269"/>
      <c r="AF4" s="269"/>
      <c r="AG4" s="269"/>
      <c r="AH4" s="39" t="s">
        <v>70</v>
      </c>
    </row>
    <row r="5" spans="1:34" s="33" customFormat="1" x14ac:dyDescent="0.2">
      <c r="A5" s="40">
        <v>35</v>
      </c>
      <c r="C5" s="41">
        <v>45896</v>
      </c>
      <c r="D5" s="42"/>
      <c r="E5" s="43">
        <f>C5+6</f>
        <v>45902</v>
      </c>
      <c r="G5" s="40">
        <v>2</v>
      </c>
      <c r="H5" s="36"/>
      <c r="I5" s="40">
        <v>11</v>
      </c>
      <c r="J5" s="40">
        <v>0</v>
      </c>
      <c r="K5" s="40">
        <v>19</v>
      </c>
      <c r="L5" s="40">
        <v>1</v>
      </c>
      <c r="M5" s="36">
        <f>I5+K5</f>
        <v>30</v>
      </c>
      <c r="N5" s="36">
        <f>J5+L5</f>
        <v>1</v>
      </c>
      <c r="O5" s="36"/>
      <c r="P5" s="40">
        <v>0</v>
      </c>
      <c r="Q5" s="40">
        <v>0</v>
      </c>
      <c r="R5" s="40">
        <v>0</v>
      </c>
      <c r="S5" s="40">
        <v>0</v>
      </c>
      <c r="T5" s="36">
        <f>P5+R5</f>
        <v>0</v>
      </c>
      <c r="U5" s="36">
        <f>Q5+S5</f>
        <v>0</v>
      </c>
      <c r="V5" s="36"/>
      <c r="W5" s="44">
        <v>0</v>
      </c>
      <c r="X5" s="44">
        <v>0</v>
      </c>
      <c r="Y5" s="44">
        <v>15</v>
      </c>
      <c r="Z5" s="44">
        <v>5</v>
      </c>
      <c r="AA5" s="45">
        <f>W5+Y5</f>
        <v>15</v>
      </c>
      <c r="AB5" s="45">
        <f>X5+Z5</f>
        <v>5</v>
      </c>
      <c r="AD5" s="45">
        <f>AA5+T5+M5</f>
        <v>45</v>
      </c>
      <c r="AE5" s="203">
        <f>IFERROR(N5/M5,"-")</f>
        <v>3.3333333333333333E-2</v>
      </c>
      <c r="AF5" s="58" t="str">
        <f>IFERROR(U5/T5,"-")</f>
        <v>-</v>
      </c>
      <c r="AG5" s="203">
        <f>IFERROR(AB5/AA5,"-")</f>
        <v>0.33333333333333331</v>
      </c>
      <c r="AH5" s="44">
        <f>IFERROR(AD5/G5,"-")</f>
        <v>22.5</v>
      </c>
    </row>
    <row r="6" spans="1:34" s="33" customFormat="1" x14ac:dyDescent="0.2">
      <c r="A6" s="40">
        <v>36</v>
      </c>
      <c r="C6" s="41">
        <f>C5+7</f>
        <v>45903</v>
      </c>
      <c r="D6" s="42"/>
      <c r="E6" s="43">
        <f>C6+6</f>
        <v>45909</v>
      </c>
      <c r="G6" s="40">
        <v>5</v>
      </c>
      <c r="H6" s="36"/>
      <c r="I6" s="40">
        <v>158</v>
      </c>
      <c r="J6" s="40">
        <v>0</v>
      </c>
      <c r="K6" s="40">
        <v>226</v>
      </c>
      <c r="L6" s="40">
        <v>26</v>
      </c>
      <c r="M6" s="36">
        <f>I6+K6</f>
        <v>384</v>
      </c>
      <c r="N6" s="36">
        <f>J6+L6</f>
        <v>26</v>
      </c>
      <c r="O6" s="36"/>
      <c r="P6" s="40">
        <v>1</v>
      </c>
      <c r="Q6" s="40">
        <v>0</v>
      </c>
      <c r="R6" s="40">
        <v>0</v>
      </c>
      <c r="S6" s="40">
        <v>0</v>
      </c>
      <c r="T6" s="36">
        <f>P6+R6</f>
        <v>1</v>
      </c>
      <c r="U6" s="36">
        <f>Q6+S6</f>
        <v>0</v>
      </c>
      <c r="V6" s="36"/>
      <c r="W6" s="44">
        <v>1</v>
      </c>
      <c r="X6" s="44">
        <v>1</v>
      </c>
      <c r="Y6" s="44">
        <v>68</v>
      </c>
      <c r="Z6" s="44">
        <v>25</v>
      </c>
      <c r="AA6" s="45">
        <f>W6+Y6</f>
        <v>69</v>
      </c>
      <c r="AB6" s="45">
        <f>X6+Z6</f>
        <v>26</v>
      </c>
      <c r="AD6" s="45">
        <f>AA6+T6+M6</f>
        <v>454</v>
      </c>
      <c r="AE6" s="203">
        <f>IFERROR(N6/M6,"-")</f>
        <v>6.7708333333333329E-2</v>
      </c>
      <c r="AF6" s="58">
        <f>IFERROR(U6/T6,"-")</f>
        <v>0</v>
      </c>
      <c r="AG6" s="203">
        <f>IFERROR(AB6/AA6,"-")</f>
        <v>0.37681159420289856</v>
      </c>
      <c r="AH6" s="44">
        <f>IFERROR(AD6/G6,"-")</f>
        <v>90.8</v>
      </c>
    </row>
    <row r="7" spans="1:34" s="33" customFormat="1" x14ac:dyDescent="0.2">
      <c r="A7" s="40">
        <v>37</v>
      </c>
      <c r="C7" s="41">
        <f t="shared" ref="C7:C12" si="0">C6+7</f>
        <v>45910</v>
      </c>
      <c r="D7" s="42"/>
      <c r="E7" s="43">
        <f t="shared" ref="E7:E8" si="1">C7+6</f>
        <v>45916</v>
      </c>
      <c r="F7" s="40"/>
      <c r="G7" s="36">
        <v>5</v>
      </c>
      <c r="H7" s="36"/>
      <c r="I7" s="40">
        <v>109</v>
      </c>
      <c r="J7" s="40">
        <v>4</v>
      </c>
      <c r="K7" s="40">
        <v>262</v>
      </c>
      <c r="L7" s="40">
        <v>38</v>
      </c>
      <c r="M7" s="36">
        <f t="shared" ref="M7:M12" si="2">I7+K7</f>
        <v>371</v>
      </c>
      <c r="N7" s="36">
        <f t="shared" ref="N7:N12" si="3">J7+L7</f>
        <v>42</v>
      </c>
      <c r="O7" s="36"/>
      <c r="P7" s="40">
        <v>0</v>
      </c>
      <c r="Q7" s="40">
        <v>0</v>
      </c>
      <c r="R7" s="40">
        <v>1</v>
      </c>
      <c r="S7" s="40">
        <v>0</v>
      </c>
      <c r="T7" s="36">
        <f t="shared" ref="T7:T12" si="4">P7+R7</f>
        <v>1</v>
      </c>
      <c r="U7" s="36">
        <f t="shared" ref="U7:U12" si="5">Q7+S7</f>
        <v>0</v>
      </c>
      <c r="V7" s="36"/>
      <c r="W7" s="44">
        <v>2</v>
      </c>
      <c r="X7" s="44">
        <v>0</v>
      </c>
      <c r="Y7" s="44">
        <v>48</v>
      </c>
      <c r="Z7" s="44">
        <v>17</v>
      </c>
      <c r="AA7" s="45">
        <f t="shared" ref="AA7:AA12" si="6">W7+Y7</f>
        <v>50</v>
      </c>
      <c r="AB7" s="45">
        <f t="shared" ref="AB7:AB12" si="7">X7+Z7</f>
        <v>17</v>
      </c>
      <c r="AD7" s="45">
        <f t="shared" ref="AD7:AD12" si="8">AA7+T7+M7</f>
        <v>422</v>
      </c>
      <c r="AE7" s="203">
        <f t="shared" ref="AE7:AE12" si="9">IFERROR(N7/M7,"-")</f>
        <v>0.11320754716981132</v>
      </c>
      <c r="AF7" s="58">
        <f t="shared" ref="AF7:AF12" si="10">IFERROR(U7/T7,"-")</f>
        <v>0</v>
      </c>
      <c r="AG7" s="203">
        <f t="shared" ref="AG7:AG12" si="11">IFERROR(AB7/AA7,"-")</f>
        <v>0.34</v>
      </c>
      <c r="AH7" s="44">
        <f t="shared" ref="AH7:AH12" si="12">IFERROR(AD7/G7,"-")</f>
        <v>84.4</v>
      </c>
    </row>
    <row r="8" spans="1:34" s="33" customFormat="1" x14ac:dyDescent="0.2">
      <c r="A8" s="40">
        <v>38</v>
      </c>
      <c r="C8" s="41">
        <f t="shared" si="0"/>
        <v>45917</v>
      </c>
      <c r="D8" s="42"/>
      <c r="E8" s="43">
        <f t="shared" si="1"/>
        <v>45923</v>
      </c>
      <c r="G8" s="36">
        <v>5</v>
      </c>
      <c r="H8" s="36"/>
      <c r="I8" s="40">
        <v>147</v>
      </c>
      <c r="J8" s="40">
        <v>13</v>
      </c>
      <c r="K8" s="40">
        <v>346</v>
      </c>
      <c r="L8" s="40">
        <v>65</v>
      </c>
      <c r="M8" s="36">
        <f t="shared" si="2"/>
        <v>493</v>
      </c>
      <c r="N8" s="36">
        <f t="shared" si="3"/>
        <v>78</v>
      </c>
      <c r="O8" s="36"/>
      <c r="P8" s="40">
        <v>0</v>
      </c>
      <c r="Q8" s="40">
        <v>0</v>
      </c>
      <c r="R8" s="40">
        <v>2</v>
      </c>
      <c r="S8" s="40">
        <v>2</v>
      </c>
      <c r="T8" s="36">
        <f t="shared" si="4"/>
        <v>2</v>
      </c>
      <c r="U8" s="36">
        <f t="shared" si="5"/>
        <v>2</v>
      </c>
      <c r="V8" s="36"/>
      <c r="W8" s="44">
        <v>4</v>
      </c>
      <c r="X8" s="44">
        <v>2</v>
      </c>
      <c r="Y8" s="44">
        <v>32</v>
      </c>
      <c r="Z8" s="44">
        <v>9</v>
      </c>
      <c r="AA8" s="45">
        <f t="shared" si="6"/>
        <v>36</v>
      </c>
      <c r="AB8" s="45">
        <f t="shared" si="7"/>
        <v>11</v>
      </c>
      <c r="AD8" s="45">
        <f t="shared" si="8"/>
        <v>531</v>
      </c>
      <c r="AE8" s="203">
        <f t="shared" si="9"/>
        <v>0.15821501014198783</v>
      </c>
      <c r="AF8" s="58">
        <f t="shared" si="10"/>
        <v>1</v>
      </c>
      <c r="AG8" s="203">
        <f t="shared" si="11"/>
        <v>0.30555555555555558</v>
      </c>
      <c r="AH8" s="44">
        <f t="shared" si="12"/>
        <v>106.2</v>
      </c>
    </row>
    <row r="9" spans="1:34" x14ac:dyDescent="0.2">
      <c r="A9" s="40">
        <v>39</v>
      </c>
      <c r="B9" s="33"/>
      <c r="C9" s="41">
        <f t="shared" si="0"/>
        <v>45924</v>
      </c>
      <c r="D9" s="42"/>
      <c r="E9" s="43">
        <f t="shared" ref="E9:E10" si="13">C9+6</f>
        <v>45930</v>
      </c>
      <c r="F9" s="46"/>
      <c r="G9" s="36">
        <v>5</v>
      </c>
      <c r="H9" s="36"/>
      <c r="I9" s="40">
        <v>114</v>
      </c>
      <c r="J9" s="40">
        <v>16</v>
      </c>
      <c r="K9" s="40">
        <v>265</v>
      </c>
      <c r="L9" s="40">
        <v>47</v>
      </c>
      <c r="M9" s="36">
        <f t="shared" si="2"/>
        <v>379</v>
      </c>
      <c r="N9" s="36">
        <f t="shared" si="3"/>
        <v>63</v>
      </c>
      <c r="O9" s="36"/>
      <c r="P9" s="40">
        <v>0</v>
      </c>
      <c r="Q9" s="40">
        <v>0</v>
      </c>
      <c r="R9" s="40">
        <v>1</v>
      </c>
      <c r="S9" s="40">
        <v>1</v>
      </c>
      <c r="T9" s="36">
        <f t="shared" si="4"/>
        <v>1</v>
      </c>
      <c r="U9" s="36">
        <f t="shared" si="5"/>
        <v>1</v>
      </c>
      <c r="V9" s="36"/>
      <c r="W9" s="44">
        <v>3</v>
      </c>
      <c r="X9" s="44">
        <v>3</v>
      </c>
      <c r="Y9" s="44">
        <v>96</v>
      </c>
      <c r="Z9" s="44">
        <v>35</v>
      </c>
      <c r="AA9" s="45">
        <f t="shared" si="6"/>
        <v>99</v>
      </c>
      <c r="AB9" s="45">
        <f t="shared" si="7"/>
        <v>38</v>
      </c>
      <c r="AD9" s="45">
        <f t="shared" si="8"/>
        <v>479</v>
      </c>
      <c r="AE9" s="203">
        <f t="shared" si="9"/>
        <v>0.16622691292875991</v>
      </c>
      <c r="AF9" s="58">
        <f t="shared" si="10"/>
        <v>1</v>
      </c>
      <c r="AG9" s="203">
        <f t="shared" si="11"/>
        <v>0.38383838383838381</v>
      </c>
      <c r="AH9" s="44">
        <f t="shared" si="12"/>
        <v>95.8</v>
      </c>
    </row>
    <row r="10" spans="1:34" x14ac:dyDescent="0.2">
      <c r="A10" s="40">
        <v>40</v>
      </c>
      <c r="B10" s="33"/>
      <c r="C10" s="41">
        <f t="shared" si="0"/>
        <v>45931</v>
      </c>
      <c r="D10" s="42"/>
      <c r="E10" s="43">
        <f t="shared" si="13"/>
        <v>45937</v>
      </c>
      <c r="F10" s="46"/>
      <c r="G10" s="36">
        <v>5</v>
      </c>
      <c r="H10" s="36"/>
      <c r="I10" s="40">
        <v>35</v>
      </c>
      <c r="J10" s="40">
        <v>3</v>
      </c>
      <c r="K10" s="40">
        <v>124</v>
      </c>
      <c r="L10" s="40">
        <v>13</v>
      </c>
      <c r="M10" s="36">
        <f t="shared" si="2"/>
        <v>159</v>
      </c>
      <c r="N10" s="36">
        <f t="shared" si="3"/>
        <v>16</v>
      </c>
      <c r="O10" s="36"/>
      <c r="P10" s="40">
        <v>2</v>
      </c>
      <c r="Q10" s="40">
        <v>2</v>
      </c>
      <c r="R10" s="40">
        <v>1</v>
      </c>
      <c r="S10" s="40">
        <v>1</v>
      </c>
      <c r="T10" s="36">
        <f t="shared" si="4"/>
        <v>3</v>
      </c>
      <c r="U10" s="36">
        <f t="shared" si="5"/>
        <v>3</v>
      </c>
      <c r="V10" s="36"/>
      <c r="W10" s="44">
        <v>6</v>
      </c>
      <c r="X10" s="44">
        <v>2</v>
      </c>
      <c r="Y10" s="44">
        <v>118</v>
      </c>
      <c r="Z10" s="44">
        <v>25</v>
      </c>
      <c r="AA10" s="45">
        <f t="shared" si="6"/>
        <v>124</v>
      </c>
      <c r="AB10" s="45">
        <f t="shared" si="7"/>
        <v>27</v>
      </c>
      <c r="AD10" s="45">
        <f t="shared" si="8"/>
        <v>286</v>
      </c>
      <c r="AE10" s="203">
        <f t="shared" si="9"/>
        <v>0.10062893081761007</v>
      </c>
      <c r="AF10" s="58">
        <f t="shared" si="10"/>
        <v>1</v>
      </c>
      <c r="AG10" s="203">
        <f t="shared" si="11"/>
        <v>0.21774193548387097</v>
      </c>
      <c r="AH10" s="44">
        <f t="shared" si="12"/>
        <v>57.2</v>
      </c>
    </row>
    <row r="11" spans="1:34" x14ac:dyDescent="0.2">
      <c r="A11" s="40">
        <v>41</v>
      </c>
      <c r="B11" s="46"/>
      <c r="C11" s="41">
        <f t="shared" si="0"/>
        <v>45938</v>
      </c>
      <c r="D11" s="42"/>
      <c r="E11" s="43">
        <f t="shared" ref="E11:E12" si="14">C11+6</f>
        <v>45944</v>
      </c>
      <c r="F11" s="46"/>
      <c r="G11" s="36">
        <v>4</v>
      </c>
      <c r="H11" s="36"/>
      <c r="I11" s="40">
        <v>28</v>
      </c>
      <c r="J11" s="40">
        <v>1</v>
      </c>
      <c r="K11" s="40">
        <v>78</v>
      </c>
      <c r="L11" s="40">
        <v>13</v>
      </c>
      <c r="M11" s="36">
        <f t="shared" si="2"/>
        <v>106</v>
      </c>
      <c r="N11" s="36">
        <f t="shared" si="3"/>
        <v>14</v>
      </c>
      <c r="O11" s="36"/>
      <c r="P11" s="40">
        <v>1</v>
      </c>
      <c r="Q11" s="40">
        <v>0</v>
      </c>
      <c r="R11" s="40">
        <v>0</v>
      </c>
      <c r="S11" s="40">
        <v>0</v>
      </c>
      <c r="T11" s="36">
        <f t="shared" si="4"/>
        <v>1</v>
      </c>
      <c r="U11" s="36">
        <f t="shared" si="5"/>
        <v>0</v>
      </c>
      <c r="V11" s="36"/>
      <c r="W11" s="44">
        <v>3</v>
      </c>
      <c r="X11" s="44">
        <v>3</v>
      </c>
      <c r="Y11" s="44">
        <v>124</v>
      </c>
      <c r="Z11" s="44">
        <v>25</v>
      </c>
      <c r="AA11" s="45">
        <f t="shared" si="6"/>
        <v>127</v>
      </c>
      <c r="AB11" s="45">
        <f t="shared" si="7"/>
        <v>28</v>
      </c>
      <c r="AD11" s="45">
        <f t="shared" si="8"/>
        <v>234</v>
      </c>
      <c r="AE11" s="203">
        <f t="shared" si="9"/>
        <v>0.13207547169811321</v>
      </c>
      <c r="AF11" s="58">
        <f t="shared" si="10"/>
        <v>0</v>
      </c>
      <c r="AG11" s="203">
        <f t="shared" si="11"/>
        <v>0.22047244094488189</v>
      </c>
      <c r="AH11" s="44">
        <f t="shared" si="12"/>
        <v>58.5</v>
      </c>
    </row>
    <row r="12" spans="1:34" x14ac:dyDescent="0.2">
      <c r="A12" s="40">
        <v>42</v>
      </c>
      <c r="B12" s="33"/>
      <c r="C12" s="41">
        <f t="shared" si="0"/>
        <v>45945</v>
      </c>
      <c r="D12" s="42"/>
      <c r="E12" s="43">
        <f t="shared" si="14"/>
        <v>45951</v>
      </c>
      <c r="F12" s="46"/>
      <c r="G12" s="36">
        <v>5</v>
      </c>
      <c r="H12" s="36"/>
      <c r="I12" s="40">
        <v>13</v>
      </c>
      <c r="J12" s="40">
        <v>2</v>
      </c>
      <c r="K12" s="40">
        <v>22</v>
      </c>
      <c r="L12" s="40">
        <v>2</v>
      </c>
      <c r="M12" s="36">
        <f t="shared" si="2"/>
        <v>35</v>
      </c>
      <c r="N12" s="36">
        <f t="shared" si="3"/>
        <v>4</v>
      </c>
      <c r="O12" s="36"/>
      <c r="P12" s="40">
        <v>1</v>
      </c>
      <c r="Q12" s="40">
        <v>1</v>
      </c>
      <c r="R12" s="40">
        <v>3</v>
      </c>
      <c r="S12" s="40">
        <v>1</v>
      </c>
      <c r="T12" s="36">
        <f t="shared" si="4"/>
        <v>4</v>
      </c>
      <c r="U12" s="36">
        <f t="shared" si="5"/>
        <v>2</v>
      </c>
      <c r="V12" s="36"/>
      <c r="W12" s="44">
        <v>4</v>
      </c>
      <c r="X12" s="44">
        <v>2</v>
      </c>
      <c r="Y12" s="44">
        <v>80</v>
      </c>
      <c r="Z12" s="44">
        <v>12</v>
      </c>
      <c r="AA12" s="45">
        <f t="shared" si="6"/>
        <v>84</v>
      </c>
      <c r="AB12" s="45">
        <f t="shared" si="7"/>
        <v>14</v>
      </c>
      <c r="AD12" s="45">
        <f t="shared" si="8"/>
        <v>123</v>
      </c>
      <c r="AE12" s="203">
        <f t="shared" si="9"/>
        <v>0.11428571428571428</v>
      </c>
      <c r="AF12" s="58">
        <f t="shared" si="10"/>
        <v>0.5</v>
      </c>
      <c r="AG12" s="203">
        <f t="shared" si="11"/>
        <v>0.16666666666666666</v>
      </c>
      <c r="AH12" s="44">
        <f t="shared" si="12"/>
        <v>24.6</v>
      </c>
    </row>
    <row r="13" spans="1:34" x14ac:dyDescent="0.2">
      <c r="A13" s="46"/>
      <c r="B13" s="33"/>
      <c r="C13" s="47"/>
      <c r="D13" s="48"/>
      <c r="E13" s="47"/>
      <c r="F13" s="46"/>
      <c r="G13" s="36"/>
      <c r="H13" s="36"/>
      <c r="I13" s="40"/>
      <c r="J13" s="40"/>
      <c r="K13" s="40"/>
      <c r="L13" s="40"/>
      <c r="M13" s="36"/>
      <c r="N13" s="36"/>
      <c r="O13" s="36"/>
      <c r="P13" s="40"/>
      <c r="Q13" s="40"/>
      <c r="R13" s="40"/>
      <c r="S13" s="40"/>
      <c r="T13" s="36"/>
      <c r="U13" s="36"/>
      <c r="V13" s="36"/>
      <c r="W13" s="44"/>
      <c r="X13" s="44"/>
      <c r="Y13" s="44"/>
      <c r="Z13" s="44"/>
      <c r="AA13" s="45"/>
      <c r="AB13" s="45"/>
      <c r="AD13" s="45"/>
      <c r="AE13" s="203"/>
      <c r="AF13" s="58"/>
      <c r="AG13" s="203"/>
      <c r="AH13" s="44"/>
    </row>
    <row r="14" spans="1:34" x14ac:dyDescent="0.2">
      <c r="A14" s="46"/>
      <c r="B14" s="46"/>
      <c r="C14" s="47"/>
      <c r="D14" s="48"/>
      <c r="E14" s="47"/>
      <c r="F14" s="46"/>
      <c r="G14" s="36"/>
      <c r="H14" s="36"/>
      <c r="I14" s="40"/>
      <c r="J14" s="40"/>
      <c r="K14" s="40"/>
      <c r="L14" s="40"/>
      <c r="M14" s="36"/>
      <c r="N14" s="36"/>
      <c r="O14" s="36"/>
      <c r="P14" s="40"/>
      <c r="Q14" s="40"/>
      <c r="R14" s="40"/>
      <c r="S14" s="40"/>
      <c r="T14" s="36"/>
      <c r="U14" s="36"/>
      <c r="V14" s="36"/>
      <c r="W14" s="44"/>
      <c r="X14" s="44"/>
      <c r="Y14" s="44"/>
      <c r="Z14" s="44"/>
      <c r="AA14" s="45"/>
      <c r="AB14" s="45"/>
      <c r="AD14" s="45"/>
      <c r="AE14" s="203"/>
      <c r="AF14" s="58"/>
      <c r="AG14" s="203"/>
      <c r="AH14" s="44"/>
    </row>
    <row r="15" spans="1:34" x14ac:dyDescent="0.2">
      <c r="A15" s="46"/>
      <c r="B15" s="46"/>
      <c r="C15" s="47"/>
      <c r="D15" s="48"/>
      <c r="E15" s="47"/>
      <c r="F15" s="46"/>
      <c r="G15" s="36"/>
      <c r="H15" s="36"/>
      <c r="I15" s="40"/>
      <c r="J15" s="40"/>
      <c r="K15" s="40"/>
      <c r="L15" s="40"/>
      <c r="M15" s="36"/>
      <c r="N15" s="36"/>
      <c r="O15" s="36"/>
      <c r="P15" s="40"/>
      <c r="Q15" s="40"/>
      <c r="R15" s="40"/>
      <c r="S15" s="40"/>
      <c r="T15" s="36"/>
      <c r="U15" s="36"/>
      <c r="V15" s="36"/>
      <c r="W15" s="44"/>
      <c r="X15" s="44"/>
      <c r="Y15" s="44"/>
      <c r="Z15" s="44"/>
      <c r="AA15" s="45"/>
      <c r="AB15" s="45"/>
      <c r="AD15" s="45"/>
      <c r="AE15" s="203"/>
      <c r="AF15" s="58"/>
      <c r="AG15" s="203"/>
      <c r="AH15" s="44"/>
    </row>
    <row r="16" spans="1:34" x14ac:dyDescent="0.2">
      <c r="A16" s="46"/>
      <c r="B16" s="46"/>
      <c r="C16" s="47"/>
      <c r="D16" s="48"/>
      <c r="E16" s="47"/>
      <c r="F16" s="46"/>
      <c r="G16" s="36"/>
      <c r="H16" s="36"/>
      <c r="I16" s="40"/>
      <c r="J16" s="40"/>
      <c r="K16" s="40"/>
      <c r="L16" s="40"/>
      <c r="M16" s="36"/>
      <c r="N16" s="36"/>
      <c r="O16" s="46"/>
      <c r="P16" s="40"/>
      <c r="Q16" s="40"/>
      <c r="R16" s="40"/>
      <c r="S16" s="40"/>
      <c r="T16" s="36"/>
      <c r="U16" s="36"/>
      <c r="V16" s="46"/>
      <c r="W16" s="44"/>
      <c r="X16" s="44"/>
      <c r="Y16" s="44"/>
      <c r="Z16" s="44"/>
      <c r="AA16" s="45"/>
      <c r="AB16" s="45"/>
      <c r="AD16" s="45"/>
      <c r="AE16" s="208"/>
      <c r="AF16" s="58"/>
      <c r="AG16" s="208"/>
      <c r="AH16" s="44"/>
    </row>
    <row r="17" spans="1:34" x14ac:dyDescent="0.2">
      <c r="A17" s="46"/>
      <c r="B17" s="33"/>
      <c r="C17" s="47"/>
      <c r="D17" s="48"/>
      <c r="E17" s="47"/>
      <c r="F17" s="46"/>
      <c r="G17" s="39"/>
      <c r="H17" s="39"/>
      <c r="I17" s="270"/>
      <c r="J17" s="270"/>
      <c r="K17" s="270"/>
      <c r="L17" s="270"/>
      <c r="M17" s="270"/>
      <c r="N17" s="270"/>
      <c r="O17" s="173"/>
      <c r="P17" s="63"/>
      <c r="Q17" s="63"/>
      <c r="R17" s="63"/>
      <c r="S17" s="63"/>
      <c r="T17" s="39"/>
      <c r="U17" s="39"/>
      <c r="V17" s="173"/>
      <c r="W17" s="205"/>
      <c r="X17" s="205"/>
      <c r="Y17" s="205"/>
      <c r="Z17" s="205"/>
      <c r="AA17" s="209"/>
      <c r="AB17" s="209"/>
      <c r="AD17" s="209"/>
      <c r="AE17" s="204"/>
      <c r="AF17" s="58"/>
      <c r="AG17" s="204"/>
      <c r="AH17" s="205"/>
    </row>
    <row r="18" spans="1:34" x14ac:dyDescent="0.2">
      <c r="A18" s="8"/>
      <c r="B18" s="8"/>
      <c r="C18" s="8"/>
      <c r="D18" s="21"/>
      <c r="E18" s="22" t="s">
        <v>137</v>
      </c>
      <c r="F18" s="46"/>
      <c r="G18" s="51">
        <f>SUM(G5:G17)</f>
        <v>36</v>
      </c>
      <c r="H18" s="51"/>
      <c r="I18" s="51">
        <f t="shared" ref="I18:AB18" si="15">SUM(I5:I17)</f>
        <v>615</v>
      </c>
      <c r="J18" s="51">
        <f t="shared" si="15"/>
        <v>39</v>
      </c>
      <c r="K18" s="51">
        <f t="shared" si="15"/>
        <v>1342</v>
      </c>
      <c r="L18" s="51">
        <f t="shared" si="15"/>
        <v>205</v>
      </c>
      <c r="M18" s="51">
        <f t="shared" si="15"/>
        <v>1957</v>
      </c>
      <c r="N18" s="51">
        <f t="shared" si="15"/>
        <v>244</v>
      </c>
      <c r="O18" s="51"/>
      <c r="P18" s="51">
        <f t="shared" si="15"/>
        <v>5</v>
      </c>
      <c r="Q18" s="51">
        <f t="shared" si="15"/>
        <v>3</v>
      </c>
      <c r="R18" s="51">
        <f t="shared" si="15"/>
        <v>8</v>
      </c>
      <c r="S18" s="51">
        <f t="shared" si="15"/>
        <v>5</v>
      </c>
      <c r="T18" s="51">
        <f t="shared" si="15"/>
        <v>13</v>
      </c>
      <c r="U18" s="51">
        <f t="shared" si="15"/>
        <v>8</v>
      </c>
      <c r="V18" s="51"/>
      <c r="W18" s="51">
        <f t="shared" si="15"/>
        <v>23</v>
      </c>
      <c r="X18" s="51">
        <f t="shared" si="15"/>
        <v>13</v>
      </c>
      <c r="Y18" s="51">
        <f t="shared" si="15"/>
        <v>581</v>
      </c>
      <c r="Z18" s="51">
        <f t="shared" si="15"/>
        <v>153</v>
      </c>
      <c r="AA18" s="51">
        <f t="shared" si="15"/>
        <v>604</v>
      </c>
      <c r="AB18" s="51">
        <f t="shared" si="15"/>
        <v>166</v>
      </c>
      <c r="AC18" s="201"/>
      <c r="AD18" s="222">
        <f>AA18+T18+M18</f>
        <v>2574</v>
      </c>
      <c r="AE18" s="223">
        <f>IFERROR(N18/M18,"-")</f>
        <v>0.12468063362289218</v>
      </c>
      <c r="AF18" s="224">
        <f>IFERROR(U18/T18,"-")</f>
        <v>0.61538461538461542</v>
      </c>
      <c r="AG18" s="223">
        <f>IFERROR(AB18/AA18,"-")</f>
        <v>0.27483443708609273</v>
      </c>
      <c r="AH18" s="225">
        <f>IFERROR(AD18/G18,"-")</f>
        <v>71.5</v>
      </c>
    </row>
    <row r="19" spans="1:34" x14ac:dyDescent="0.2">
      <c r="A19" s="173"/>
      <c r="B19" s="173"/>
      <c r="C19" s="233"/>
      <c r="D19" s="234"/>
      <c r="E19" s="235"/>
      <c r="F19" s="1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174"/>
      <c r="AD19" s="236"/>
      <c r="AE19" s="237"/>
      <c r="AF19" s="238"/>
      <c r="AG19" s="237"/>
      <c r="AH19" s="209"/>
    </row>
    <row r="20" spans="1:34" ht="14.25" x14ac:dyDescent="0.2">
      <c r="A20" s="24" t="s">
        <v>152</v>
      </c>
      <c r="B20" s="46"/>
      <c r="C20" s="47"/>
      <c r="D20" s="48"/>
      <c r="E20" s="50"/>
      <c r="F20" s="46"/>
      <c r="G20" s="52">
        <v>57</v>
      </c>
      <c r="H20" s="52"/>
      <c r="I20" s="52">
        <v>213</v>
      </c>
      <c r="J20" s="52">
        <v>10</v>
      </c>
      <c r="K20" s="52">
        <v>507</v>
      </c>
      <c r="L20" s="52">
        <v>52</v>
      </c>
      <c r="M20" s="52">
        <v>720</v>
      </c>
      <c r="N20" s="52">
        <v>62</v>
      </c>
      <c r="O20" s="52"/>
      <c r="P20" s="52">
        <v>1</v>
      </c>
      <c r="Q20" s="52">
        <v>1</v>
      </c>
      <c r="R20" s="52">
        <v>25</v>
      </c>
      <c r="S20" s="52">
        <v>11</v>
      </c>
      <c r="T20" s="52">
        <v>26</v>
      </c>
      <c r="U20" s="52">
        <v>12</v>
      </c>
      <c r="V20" s="52"/>
      <c r="W20" s="52">
        <v>76</v>
      </c>
      <c r="X20" s="52">
        <v>54</v>
      </c>
      <c r="Y20" s="52">
        <v>637</v>
      </c>
      <c r="Z20" s="52">
        <v>420</v>
      </c>
      <c r="AA20" s="52">
        <v>713</v>
      </c>
      <c r="AB20" s="52">
        <v>474</v>
      </c>
      <c r="AD20" s="206">
        <f>SUM(AA20,T20,M20)</f>
        <v>1459</v>
      </c>
      <c r="AE20" s="203">
        <f t="shared" ref="AE20:AE29" si="16">N20/M20</f>
        <v>8.611111111111111E-2</v>
      </c>
      <c r="AF20" s="58">
        <f>U20/T20</f>
        <v>0.46153846153846156</v>
      </c>
      <c r="AG20" s="203">
        <f t="shared" ref="AG20:AG29" si="17">AB20/AA20</f>
        <v>0.66479663394109401</v>
      </c>
      <c r="AH20" s="44">
        <f t="shared" ref="AH20:AH29" si="18">AD20/G20</f>
        <v>25.596491228070175</v>
      </c>
    </row>
    <row r="21" spans="1:34" ht="14.25" x14ac:dyDescent="0.2">
      <c r="A21" s="24" t="s">
        <v>153</v>
      </c>
      <c r="B21" s="46"/>
      <c r="C21" s="47"/>
      <c r="D21" s="48"/>
      <c r="E21" s="50"/>
      <c r="F21" s="46"/>
      <c r="G21" s="52">
        <v>49</v>
      </c>
      <c r="H21" s="52"/>
      <c r="I21" s="52">
        <v>101</v>
      </c>
      <c r="J21" s="52">
        <v>22</v>
      </c>
      <c r="K21" s="52">
        <v>730</v>
      </c>
      <c r="L21" s="52">
        <v>105</v>
      </c>
      <c r="M21" s="52">
        <v>831</v>
      </c>
      <c r="N21" s="52">
        <v>127</v>
      </c>
      <c r="O21" s="52"/>
      <c r="P21" s="52">
        <v>7</v>
      </c>
      <c r="Q21" s="52">
        <v>7</v>
      </c>
      <c r="R21" s="52">
        <v>98</v>
      </c>
      <c r="S21" s="52">
        <v>89</v>
      </c>
      <c r="T21" s="52">
        <v>105</v>
      </c>
      <c r="U21" s="52">
        <v>96</v>
      </c>
      <c r="V21" s="52"/>
      <c r="W21" s="52">
        <v>37</v>
      </c>
      <c r="X21" s="52">
        <v>30</v>
      </c>
      <c r="Y21" s="52">
        <v>318</v>
      </c>
      <c r="Z21" s="52">
        <v>179</v>
      </c>
      <c r="AA21" s="52">
        <v>355</v>
      </c>
      <c r="AB21" s="52">
        <v>209</v>
      </c>
      <c r="AD21" s="206">
        <f t="shared" ref="AD21:AD23" si="19">SUM(AA21,T21,M21)</f>
        <v>1291</v>
      </c>
      <c r="AE21" s="203">
        <f t="shared" si="16"/>
        <v>0.15282791817087846</v>
      </c>
      <c r="AF21" s="58">
        <f>U21/T21</f>
        <v>0.91428571428571426</v>
      </c>
      <c r="AG21" s="203">
        <f t="shared" si="17"/>
        <v>0.58873239436619718</v>
      </c>
      <c r="AH21" s="44">
        <f t="shared" si="18"/>
        <v>26.346938775510203</v>
      </c>
    </row>
    <row r="22" spans="1:34" ht="14.25" x14ac:dyDescent="0.2">
      <c r="A22" s="24" t="s">
        <v>149</v>
      </c>
      <c r="B22" s="46"/>
      <c r="C22" s="47"/>
      <c r="D22" s="48"/>
      <c r="E22" s="50"/>
      <c r="F22" s="46"/>
      <c r="G22" s="52">
        <v>40</v>
      </c>
      <c r="H22" s="52"/>
      <c r="I22" s="52">
        <v>386</v>
      </c>
      <c r="J22" s="52">
        <v>43</v>
      </c>
      <c r="K22" s="52">
        <v>847</v>
      </c>
      <c r="L22" s="52">
        <v>45</v>
      </c>
      <c r="M22" s="52">
        <v>1233</v>
      </c>
      <c r="N22" s="52">
        <v>88</v>
      </c>
      <c r="O22" s="52"/>
      <c r="P22" s="52">
        <v>185</v>
      </c>
      <c r="Q22" s="52">
        <v>174</v>
      </c>
      <c r="R22" s="52">
        <v>653</v>
      </c>
      <c r="S22" s="52">
        <v>586</v>
      </c>
      <c r="T22" s="52">
        <v>838</v>
      </c>
      <c r="U22" s="52">
        <v>760</v>
      </c>
      <c r="V22" s="52"/>
      <c r="W22" s="52">
        <v>25</v>
      </c>
      <c r="X22" s="52">
        <v>20</v>
      </c>
      <c r="Y22" s="52">
        <v>461</v>
      </c>
      <c r="Z22" s="52">
        <v>123</v>
      </c>
      <c r="AA22" s="52">
        <v>486</v>
      </c>
      <c r="AB22" s="52">
        <v>143</v>
      </c>
      <c r="AD22" s="206">
        <f t="shared" si="19"/>
        <v>2557</v>
      </c>
      <c r="AE22" s="203">
        <f t="shared" si="16"/>
        <v>7.1370640713706412E-2</v>
      </c>
      <c r="AF22" s="58">
        <f t="shared" ref="AF22:AF29" si="20">U22/T22</f>
        <v>0.90692124105011929</v>
      </c>
      <c r="AG22" s="203">
        <f t="shared" si="17"/>
        <v>0.29423868312757201</v>
      </c>
      <c r="AH22" s="44">
        <f t="shared" si="18"/>
        <v>63.924999999999997</v>
      </c>
    </row>
    <row r="23" spans="1:34" ht="14.25" x14ac:dyDescent="0.2">
      <c r="A23" s="24" t="s">
        <v>150</v>
      </c>
      <c r="B23" s="46"/>
      <c r="C23" s="47"/>
      <c r="D23" s="48"/>
      <c r="E23" s="47"/>
      <c r="F23" s="46"/>
      <c r="G23" s="52">
        <v>37</v>
      </c>
      <c r="H23" s="52"/>
      <c r="I23" s="52">
        <v>553</v>
      </c>
      <c r="J23" s="52">
        <v>12</v>
      </c>
      <c r="K23" s="52">
        <v>2814</v>
      </c>
      <c r="L23" s="52">
        <v>483</v>
      </c>
      <c r="M23" s="52">
        <v>3367</v>
      </c>
      <c r="N23" s="52">
        <v>495</v>
      </c>
      <c r="O23" s="53"/>
      <c r="P23" s="52">
        <v>29</v>
      </c>
      <c r="Q23" s="52">
        <v>26</v>
      </c>
      <c r="R23" s="52">
        <v>167</v>
      </c>
      <c r="S23" s="52">
        <v>154</v>
      </c>
      <c r="T23" s="52">
        <v>196</v>
      </c>
      <c r="U23" s="52">
        <v>180</v>
      </c>
      <c r="V23" s="53"/>
      <c r="W23" s="52">
        <v>6</v>
      </c>
      <c r="X23" s="52">
        <v>3</v>
      </c>
      <c r="Y23" s="52">
        <v>331</v>
      </c>
      <c r="Z23" s="52">
        <v>182</v>
      </c>
      <c r="AA23" s="52">
        <v>337</v>
      </c>
      <c r="AB23" s="52">
        <v>185</v>
      </c>
      <c r="AD23" s="206">
        <f t="shared" si="19"/>
        <v>3900</v>
      </c>
      <c r="AE23" s="203">
        <f t="shared" si="16"/>
        <v>0.14701514701514701</v>
      </c>
      <c r="AF23" s="58">
        <f t="shared" si="20"/>
        <v>0.91836734693877553</v>
      </c>
      <c r="AG23" s="203">
        <f t="shared" si="17"/>
        <v>0.54896142433234418</v>
      </c>
      <c r="AH23" s="44">
        <f t="shared" si="18"/>
        <v>105.4054054054054</v>
      </c>
    </row>
    <row r="24" spans="1:34" ht="14.25" x14ac:dyDescent="0.2">
      <c r="A24" s="24" t="s">
        <v>54</v>
      </c>
      <c r="B24" s="46"/>
      <c r="C24" s="47"/>
      <c r="D24" s="48"/>
      <c r="E24" s="47"/>
      <c r="F24" s="46"/>
      <c r="G24" s="52">
        <v>49</v>
      </c>
      <c r="H24" s="52"/>
      <c r="I24" s="52">
        <v>43</v>
      </c>
      <c r="J24" s="52">
        <v>6</v>
      </c>
      <c r="K24" s="52">
        <v>101</v>
      </c>
      <c r="L24" s="52">
        <v>15</v>
      </c>
      <c r="M24" s="52">
        <v>144</v>
      </c>
      <c r="N24" s="52">
        <v>21</v>
      </c>
      <c r="O24" s="53"/>
      <c r="P24" s="52">
        <v>39</v>
      </c>
      <c r="Q24" s="52">
        <v>38</v>
      </c>
      <c r="R24" s="52">
        <v>32</v>
      </c>
      <c r="S24" s="52">
        <v>27</v>
      </c>
      <c r="T24" s="52">
        <v>71</v>
      </c>
      <c r="U24" s="52">
        <v>65</v>
      </c>
      <c r="V24" s="53"/>
      <c r="W24" s="52">
        <v>14</v>
      </c>
      <c r="X24" s="52">
        <v>9</v>
      </c>
      <c r="Y24" s="52">
        <v>211</v>
      </c>
      <c r="Z24" s="52">
        <v>89</v>
      </c>
      <c r="AA24" s="52">
        <v>225</v>
      </c>
      <c r="AB24" s="52">
        <v>98</v>
      </c>
      <c r="AD24" s="206">
        <f t="shared" ref="AD24:AD29" si="21">SUM(AA24,T24,M24)</f>
        <v>440</v>
      </c>
      <c r="AE24" s="203">
        <f t="shared" si="16"/>
        <v>0.14583333333333334</v>
      </c>
      <c r="AF24" s="58">
        <f t="shared" si="20"/>
        <v>0.91549295774647887</v>
      </c>
      <c r="AG24" s="203">
        <f t="shared" si="17"/>
        <v>0.43555555555555553</v>
      </c>
      <c r="AH24" s="44">
        <f t="shared" si="18"/>
        <v>8.9795918367346932</v>
      </c>
    </row>
    <row r="25" spans="1:34" ht="14.25" x14ac:dyDescent="0.2">
      <c r="A25" s="24" t="s">
        <v>55</v>
      </c>
      <c r="B25" s="46"/>
      <c r="C25" s="47"/>
      <c r="D25" s="48"/>
      <c r="E25" s="47"/>
      <c r="F25" s="46"/>
      <c r="G25" s="52">
        <v>61</v>
      </c>
      <c r="H25" s="52"/>
      <c r="I25" s="52">
        <v>705</v>
      </c>
      <c r="J25" s="52">
        <v>33</v>
      </c>
      <c r="K25" s="52">
        <v>885</v>
      </c>
      <c r="L25" s="52">
        <v>124</v>
      </c>
      <c r="M25" s="52">
        <v>1589</v>
      </c>
      <c r="N25" s="52">
        <v>157</v>
      </c>
      <c r="O25" s="53"/>
      <c r="P25" s="52">
        <v>14</v>
      </c>
      <c r="Q25" s="52">
        <v>12</v>
      </c>
      <c r="R25" s="52">
        <v>139</v>
      </c>
      <c r="S25" s="52">
        <v>122</v>
      </c>
      <c r="T25" s="52">
        <v>153</v>
      </c>
      <c r="U25" s="52">
        <v>134</v>
      </c>
      <c r="V25" s="53"/>
      <c r="W25" s="52">
        <v>17</v>
      </c>
      <c r="X25" s="52">
        <v>11</v>
      </c>
      <c r="Y25" s="52">
        <v>703</v>
      </c>
      <c r="Z25" s="52">
        <v>168</v>
      </c>
      <c r="AA25" s="52">
        <v>717</v>
      </c>
      <c r="AB25" s="52">
        <v>179</v>
      </c>
      <c r="AD25" s="206">
        <f t="shared" si="21"/>
        <v>2459</v>
      </c>
      <c r="AE25" s="203">
        <f t="shared" si="16"/>
        <v>9.8804279421019506E-2</v>
      </c>
      <c r="AF25" s="58">
        <f t="shared" si="20"/>
        <v>0.87581699346405228</v>
      </c>
      <c r="AG25" s="203">
        <f t="shared" si="17"/>
        <v>0.24965132496513251</v>
      </c>
      <c r="AH25" s="44">
        <f t="shared" si="18"/>
        <v>40.311475409836063</v>
      </c>
    </row>
    <row r="26" spans="1:34" ht="14.25" x14ac:dyDescent="0.2">
      <c r="A26" s="24" t="s">
        <v>56</v>
      </c>
      <c r="B26" s="46"/>
      <c r="C26" s="47"/>
      <c r="D26" s="48"/>
      <c r="E26" s="47"/>
      <c r="F26" s="46"/>
      <c r="G26" s="52">
        <v>58</v>
      </c>
      <c r="H26" s="52"/>
      <c r="I26" s="52">
        <v>251</v>
      </c>
      <c r="J26" s="52">
        <v>5</v>
      </c>
      <c r="K26" s="52">
        <v>1341</v>
      </c>
      <c r="L26" s="52">
        <v>204</v>
      </c>
      <c r="M26" s="52">
        <f>I26+K26</f>
        <v>1592</v>
      </c>
      <c r="N26" s="52">
        <f>J26+L26</f>
        <v>209</v>
      </c>
      <c r="O26" s="53"/>
      <c r="P26" s="52">
        <v>48</v>
      </c>
      <c r="Q26" s="52">
        <v>46</v>
      </c>
      <c r="R26" s="52">
        <v>25</v>
      </c>
      <c r="S26" s="52">
        <v>24</v>
      </c>
      <c r="T26" s="52">
        <v>73</v>
      </c>
      <c r="U26" s="52">
        <v>70</v>
      </c>
      <c r="V26" s="53"/>
      <c r="W26" s="52">
        <v>22</v>
      </c>
      <c r="X26" s="52">
        <v>8</v>
      </c>
      <c r="Y26" s="52">
        <v>510</v>
      </c>
      <c r="Z26" s="52">
        <v>306</v>
      </c>
      <c r="AA26" s="52">
        <v>532</v>
      </c>
      <c r="AB26" s="52">
        <v>314</v>
      </c>
      <c r="AD26" s="206">
        <f t="shared" si="21"/>
        <v>2197</v>
      </c>
      <c r="AE26" s="203">
        <f t="shared" si="16"/>
        <v>0.13128140703517588</v>
      </c>
      <c r="AF26" s="58">
        <f t="shared" si="20"/>
        <v>0.95890410958904104</v>
      </c>
      <c r="AG26" s="203">
        <f t="shared" si="17"/>
        <v>0.59022556390977443</v>
      </c>
      <c r="AH26" s="44">
        <f t="shared" si="18"/>
        <v>37.879310344827587</v>
      </c>
    </row>
    <row r="27" spans="1:34" ht="14.25" x14ac:dyDescent="0.2">
      <c r="A27" s="24" t="s">
        <v>57</v>
      </c>
      <c r="B27" s="46"/>
      <c r="C27" s="47"/>
      <c r="D27" s="48"/>
      <c r="E27" s="47"/>
      <c r="F27" s="46"/>
      <c r="G27" s="52">
        <v>49</v>
      </c>
      <c r="H27" s="52"/>
      <c r="I27" s="52">
        <v>865</v>
      </c>
      <c r="J27" s="52">
        <v>97</v>
      </c>
      <c r="K27" s="52">
        <v>1030</v>
      </c>
      <c r="L27" s="52">
        <v>122</v>
      </c>
      <c r="M27" s="52">
        <v>1895</v>
      </c>
      <c r="N27" s="52">
        <v>219</v>
      </c>
      <c r="O27" s="53"/>
      <c r="P27" s="52">
        <v>36</v>
      </c>
      <c r="Q27" s="52">
        <v>33</v>
      </c>
      <c r="R27" s="52">
        <v>30</v>
      </c>
      <c r="S27" s="52">
        <v>26</v>
      </c>
      <c r="T27" s="52">
        <v>66</v>
      </c>
      <c r="U27" s="52">
        <v>59</v>
      </c>
      <c r="V27" s="53"/>
      <c r="W27" s="52">
        <v>57</v>
      </c>
      <c r="X27" s="52">
        <v>39</v>
      </c>
      <c r="Y27" s="52">
        <v>689</v>
      </c>
      <c r="Z27" s="52">
        <v>451</v>
      </c>
      <c r="AA27" s="52">
        <v>746</v>
      </c>
      <c r="AB27" s="52">
        <v>490</v>
      </c>
      <c r="AD27" s="206">
        <f t="shared" si="21"/>
        <v>2707</v>
      </c>
      <c r="AE27" s="203">
        <f t="shared" si="16"/>
        <v>0.11556728232189974</v>
      </c>
      <c r="AF27" s="58">
        <f t="shared" si="20"/>
        <v>0.89393939393939392</v>
      </c>
      <c r="AG27" s="203">
        <f t="shared" si="17"/>
        <v>0.65683646112600536</v>
      </c>
      <c r="AH27" s="44">
        <f t="shared" si="18"/>
        <v>55.244897959183675</v>
      </c>
    </row>
    <row r="28" spans="1:34" ht="14.25" x14ac:dyDescent="0.2">
      <c r="A28" s="24" t="s">
        <v>58</v>
      </c>
      <c r="B28" s="50"/>
      <c r="C28" s="50"/>
      <c r="D28" s="50"/>
      <c r="E28" s="47"/>
      <c r="F28" s="46"/>
      <c r="G28" s="52">
        <v>34</v>
      </c>
      <c r="H28" s="52"/>
      <c r="I28" s="52">
        <v>76</v>
      </c>
      <c r="J28" s="52">
        <v>8</v>
      </c>
      <c r="K28" s="52">
        <v>383</v>
      </c>
      <c r="L28" s="52">
        <v>23</v>
      </c>
      <c r="M28" s="52">
        <v>459</v>
      </c>
      <c r="N28" s="52">
        <v>31</v>
      </c>
      <c r="O28" s="53"/>
      <c r="P28" s="52">
        <v>2</v>
      </c>
      <c r="Q28" s="52">
        <v>2</v>
      </c>
      <c r="R28" s="52">
        <v>1</v>
      </c>
      <c r="S28" s="52">
        <v>1</v>
      </c>
      <c r="T28" s="52">
        <v>3</v>
      </c>
      <c r="U28" s="52">
        <v>3</v>
      </c>
      <c r="V28" s="53"/>
      <c r="W28" s="52">
        <v>45</v>
      </c>
      <c r="X28" s="52">
        <v>24</v>
      </c>
      <c r="Y28" s="52">
        <v>519</v>
      </c>
      <c r="Z28" s="52">
        <v>288</v>
      </c>
      <c r="AA28" s="52">
        <v>563</v>
      </c>
      <c r="AB28" s="52">
        <v>312</v>
      </c>
      <c r="AD28" s="206">
        <f t="shared" si="21"/>
        <v>1025</v>
      </c>
      <c r="AE28" s="203">
        <f t="shared" si="16"/>
        <v>6.7538126361655779E-2</v>
      </c>
      <c r="AF28" s="58">
        <f t="shared" si="20"/>
        <v>1</v>
      </c>
      <c r="AG28" s="203">
        <f t="shared" si="17"/>
        <v>0.55417406749555953</v>
      </c>
      <c r="AH28" s="44">
        <f t="shared" si="18"/>
        <v>30.147058823529413</v>
      </c>
    </row>
    <row r="29" spans="1:34" ht="14.25" x14ac:dyDescent="0.2">
      <c r="A29" s="24" t="s">
        <v>59</v>
      </c>
      <c r="B29" s="50"/>
      <c r="C29" s="50"/>
      <c r="D29" s="50"/>
      <c r="E29" s="50"/>
      <c r="F29" s="36"/>
      <c r="G29" s="51">
        <v>67</v>
      </c>
      <c r="H29" s="51"/>
      <c r="I29" s="51">
        <v>191</v>
      </c>
      <c r="J29" s="51">
        <v>9</v>
      </c>
      <c r="K29" s="51">
        <v>684</v>
      </c>
      <c r="L29" s="51">
        <v>83</v>
      </c>
      <c r="M29" s="51">
        <v>875</v>
      </c>
      <c r="N29" s="51">
        <v>92</v>
      </c>
      <c r="O29" s="54"/>
      <c r="P29" s="51">
        <v>100</v>
      </c>
      <c r="Q29" s="51">
        <v>93</v>
      </c>
      <c r="R29" s="51">
        <v>394</v>
      </c>
      <c r="S29" s="51">
        <v>314</v>
      </c>
      <c r="T29" s="51">
        <v>494</v>
      </c>
      <c r="U29" s="51">
        <v>407</v>
      </c>
      <c r="V29" s="54"/>
      <c r="W29" s="51">
        <v>65</v>
      </c>
      <c r="X29" s="51">
        <v>60</v>
      </c>
      <c r="Y29" s="51">
        <v>1215</v>
      </c>
      <c r="Z29" s="51">
        <v>948</v>
      </c>
      <c r="AA29" s="51">
        <v>1280</v>
      </c>
      <c r="AB29" s="51">
        <v>1008</v>
      </c>
      <c r="AD29" s="210">
        <f t="shared" si="21"/>
        <v>2649</v>
      </c>
      <c r="AE29" s="204">
        <f t="shared" si="16"/>
        <v>0.10514285714285715</v>
      </c>
      <c r="AF29" s="207">
        <f t="shared" si="20"/>
        <v>0.82388663967611331</v>
      </c>
      <c r="AG29" s="204">
        <f t="shared" si="17"/>
        <v>0.78749999999999998</v>
      </c>
      <c r="AH29" s="205">
        <f t="shared" si="18"/>
        <v>39.537313432835823</v>
      </c>
    </row>
    <row r="30" spans="1:34" x14ac:dyDescent="0.2">
      <c r="A30" s="24"/>
      <c r="B30" s="50"/>
      <c r="C30" s="50"/>
      <c r="D30" s="50"/>
      <c r="E30" s="50" t="s">
        <v>72</v>
      </c>
      <c r="F30" s="36"/>
      <c r="G30" s="52">
        <f>AVERAGE(G20:G29)</f>
        <v>50.1</v>
      </c>
      <c r="H30" s="52"/>
      <c r="I30" s="52">
        <f>AVERAGE(I20:I29)</f>
        <v>338.4</v>
      </c>
      <c r="J30" s="52">
        <f t="shared" ref="J30:AA30" si="22">AVERAGE(J20:J29)</f>
        <v>24.5</v>
      </c>
      <c r="K30" s="52">
        <f t="shared" si="22"/>
        <v>932.2</v>
      </c>
      <c r="L30" s="52">
        <f t="shared" si="22"/>
        <v>125.6</v>
      </c>
      <c r="M30" s="52">
        <f t="shared" si="22"/>
        <v>1270.5</v>
      </c>
      <c r="N30" s="52">
        <f t="shared" si="22"/>
        <v>150.1</v>
      </c>
      <c r="O30" s="52" t="e">
        <f t="shared" si="22"/>
        <v>#DIV/0!</v>
      </c>
      <c r="P30" s="52">
        <f t="shared" si="22"/>
        <v>46.1</v>
      </c>
      <c r="Q30" s="52">
        <f t="shared" si="22"/>
        <v>43.2</v>
      </c>
      <c r="R30" s="52">
        <f t="shared" si="22"/>
        <v>156.4</v>
      </c>
      <c r="S30" s="52">
        <f t="shared" si="22"/>
        <v>135.4</v>
      </c>
      <c r="T30" s="52">
        <f t="shared" si="22"/>
        <v>202.5</v>
      </c>
      <c r="U30" s="52">
        <f t="shared" si="22"/>
        <v>178.6</v>
      </c>
      <c r="V30" s="52"/>
      <c r="W30" s="52">
        <f t="shared" si="22"/>
        <v>36.4</v>
      </c>
      <c r="X30" s="52">
        <f t="shared" si="22"/>
        <v>25.8</v>
      </c>
      <c r="Y30" s="52">
        <f t="shared" si="22"/>
        <v>559.4</v>
      </c>
      <c r="Z30" s="52">
        <f>AVERAGE(Z20:Z29)</f>
        <v>315.39999999999998</v>
      </c>
      <c r="AA30" s="52">
        <f t="shared" si="22"/>
        <v>595.4</v>
      </c>
      <c r="AB30" s="52">
        <f>AVERAGE(AB20:AB29)</f>
        <v>341.2</v>
      </c>
      <c r="AC30" s="52"/>
      <c r="AD30" s="52">
        <f>AVERAGE(AD20:AD29)</f>
        <v>2068.4</v>
      </c>
      <c r="AE30" s="211">
        <f>AVERAGE(AE20:AE29)</f>
        <v>0.11214921026267843</v>
      </c>
      <c r="AF30" s="211">
        <f>AVERAGE(AF20:AF29)</f>
        <v>0.86691528582281507</v>
      </c>
      <c r="AG30" s="212">
        <f>AVERAGE(AG20:AG29)</f>
        <v>0.53706721088192333</v>
      </c>
      <c r="AH30" s="52">
        <f>AVERAGE(AH20:AH29)</f>
        <v>43.337348321593304</v>
      </c>
    </row>
    <row r="31" spans="1:34" x14ac:dyDescent="0.2">
      <c r="A31" s="46" t="s">
        <v>62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34" x14ac:dyDescent="0.2">
      <c r="A32" s="55" t="s">
        <v>63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x14ac:dyDescent="0.2">
      <c r="A33" s="56" t="s">
        <v>73</v>
      </c>
      <c r="D33" s="55"/>
      <c r="E33" s="5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1:28" x14ac:dyDescent="0.2">
      <c r="A34" s="55" t="s">
        <v>135</v>
      </c>
      <c r="B34" s="55"/>
      <c r="C34" s="55"/>
      <c r="D34" s="55"/>
      <c r="E34" s="55"/>
      <c r="AA34" s="57"/>
    </row>
    <row r="35" spans="1:28" x14ac:dyDescent="0.2">
      <c r="A35" s="31" t="s">
        <v>74</v>
      </c>
      <c r="B35" s="55"/>
      <c r="C35" s="55"/>
      <c r="D35" s="55"/>
      <c r="E35" s="55"/>
    </row>
    <row r="36" spans="1:28" x14ac:dyDescent="0.2">
      <c r="A36" s="56" t="s">
        <v>151</v>
      </c>
    </row>
    <row r="37" spans="1:28" x14ac:dyDescent="0.2">
      <c r="A37" s="15" t="s">
        <v>143</v>
      </c>
    </row>
  </sheetData>
  <mergeCells count="5">
    <mergeCell ref="AE3:AE4"/>
    <mergeCell ref="AF3:AF4"/>
    <mergeCell ref="AG3:AG4"/>
    <mergeCell ref="AE2:AG2"/>
    <mergeCell ref="I17:N17"/>
  </mergeCells>
  <phoneticPr fontId="16" type="noConversion"/>
  <printOptions horizontalCentered="1"/>
  <pageMargins left="0.5" right="0.5" top="1" bottom="1" header="0.5" footer="0.5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DDEE-E83A-461D-8883-379C4A353B05}">
  <sheetPr>
    <pageSetUpPr fitToPage="1"/>
  </sheetPr>
  <dimension ref="A1:AD59"/>
  <sheetViews>
    <sheetView tabSelected="1" workbookViewId="0">
      <selection activeCell="AF33" sqref="AF33"/>
    </sheetView>
  </sheetViews>
  <sheetFormatPr defaultRowHeight="12.75" x14ac:dyDescent="0.2"/>
  <cols>
    <col min="1" max="1" width="6.85546875" style="60" customWidth="1"/>
    <col min="2" max="2" width="2.140625" style="60" customWidth="1"/>
    <col min="3" max="3" width="10.28515625" style="60" customWidth="1"/>
    <col min="4" max="4" width="2.5703125" style="60" customWidth="1"/>
    <col min="5" max="5" width="9.28515625" style="60" customWidth="1"/>
    <col min="6" max="6" width="2.5703125" customWidth="1"/>
    <col min="7" max="7" width="5.5703125" customWidth="1"/>
    <col min="8" max="8" width="5.5703125" bestFit="1" customWidth="1"/>
    <col min="9" max="9" width="7" customWidth="1"/>
    <col min="10" max="10" width="5.5703125" bestFit="1" customWidth="1"/>
    <col min="11" max="11" width="7" bestFit="1" customWidth="1"/>
    <col min="12" max="12" width="5.5703125" bestFit="1" customWidth="1"/>
    <col min="13" max="13" width="2.7109375" customWidth="1"/>
    <col min="14" max="14" width="5.5703125" bestFit="1" customWidth="1"/>
    <col min="15" max="15" width="6" bestFit="1" customWidth="1"/>
    <col min="16" max="16" width="5.5703125" bestFit="1" customWidth="1"/>
    <col min="17" max="17" width="6" bestFit="1" customWidth="1"/>
    <col min="18" max="18" width="5.5703125" bestFit="1" customWidth="1"/>
    <col min="19" max="19" width="6" bestFit="1" customWidth="1"/>
    <col min="20" max="20" width="2.7109375" customWidth="1"/>
    <col min="21" max="22" width="5.5703125" customWidth="1"/>
    <col min="23" max="24" width="5.5703125" bestFit="1" customWidth="1"/>
    <col min="25" max="25" width="5.42578125" customWidth="1"/>
    <col min="26" max="26" width="7" customWidth="1"/>
    <col min="27" max="27" width="4.140625" customWidth="1"/>
    <col min="28" max="30" width="9.140625" style="46"/>
  </cols>
  <sheetData>
    <row r="1" spans="1:30" s="33" customFormat="1" x14ac:dyDescent="0.2">
      <c r="A1" s="33" t="s">
        <v>141</v>
      </c>
      <c r="AB1" s="36"/>
      <c r="AC1" s="36"/>
      <c r="AD1" s="36"/>
    </row>
    <row r="2" spans="1:30" x14ac:dyDescent="0.2">
      <c r="F2" s="33"/>
      <c r="G2" s="34" t="s">
        <v>34</v>
      </c>
      <c r="H2" s="34"/>
      <c r="I2" s="34"/>
      <c r="J2" s="34"/>
      <c r="K2" s="34"/>
      <c r="L2" s="34"/>
      <c r="M2" s="189"/>
      <c r="N2" s="34" t="s">
        <v>35</v>
      </c>
      <c r="O2" s="34"/>
      <c r="P2" s="34"/>
      <c r="Q2" s="34"/>
      <c r="R2" s="34"/>
      <c r="S2" s="34"/>
      <c r="T2" s="33"/>
      <c r="U2" s="257" t="s">
        <v>36</v>
      </c>
      <c r="V2" s="257"/>
      <c r="W2" s="257"/>
      <c r="X2" s="257"/>
      <c r="Y2" s="190"/>
    </row>
    <row r="3" spans="1:30" ht="14.25" x14ac:dyDescent="0.2">
      <c r="A3" s="33" t="s">
        <v>38</v>
      </c>
      <c r="B3" s="33"/>
      <c r="C3" s="33"/>
      <c r="D3" s="33"/>
      <c r="E3" s="33"/>
      <c r="F3" s="33"/>
      <c r="G3" s="37" t="s">
        <v>40</v>
      </c>
      <c r="H3" s="37"/>
      <c r="I3" s="37" t="s">
        <v>119</v>
      </c>
      <c r="J3" s="37"/>
      <c r="K3" s="37" t="s">
        <v>41</v>
      </c>
      <c r="L3" s="37"/>
      <c r="M3" s="191"/>
      <c r="N3" s="37" t="s">
        <v>40</v>
      </c>
      <c r="O3" s="37"/>
      <c r="P3" s="37" t="s">
        <v>42</v>
      </c>
      <c r="Q3" s="37"/>
      <c r="R3" s="37" t="s">
        <v>41</v>
      </c>
      <c r="S3" s="37"/>
      <c r="T3" s="33"/>
      <c r="U3" s="258" t="s">
        <v>132</v>
      </c>
      <c r="V3" s="258"/>
      <c r="W3" s="34" t="s">
        <v>42</v>
      </c>
      <c r="X3" s="34"/>
      <c r="Z3" s="36" t="s">
        <v>134</v>
      </c>
      <c r="AB3" s="36" t="s">
        <v>120</v>
      </c>
      <c r="AC3" s="36" t="s">
        <v>121</v>
      </c>
      <c r="AD3" s="36" t="s">
        <v>122</v>
      </c>
    </row>
    <row r="4" spans="1:30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46</v>
      </c>
      <c r="H4" s="39" t="s">
        <v>48</v>
      </c>
      <c r="I4" s="39" t="s">
        <v>46</v>
      </c>
      <c r="J4" s="39" t="s">
        <v>123</v>
      </c>
      <c r="K4" s="39" t="s">
        <v>46</v>
      </c>
      <c r="L4" s="39" t="s">
        <v>47</v>
      </c>
      <c r="M4" s="192"/>
      <c r="N4" s="39" t="s">
        <v>46</v>
      </c>
      <c r="O4" s="39" t="s">
        <v>48</v>
      </c>
      <c r="P4" s="39" t="s">
        <v>46</v>
      </c>
      <c r="Q4" s="39" t="s">
        <v>48</v>
      </c>
      <c r="R4" s="39" t="s">
        <v>46</v>
      </c>
      <c r="S4" s="39" t="s">
        <v>48</v>
      </c>
      <c r="T4" s="39"/>
      <c r="U4" s="39" t="s">
        <v>46</v>
      </c>
      <c r="V4" s="39" t="s">
        <v>133</v>
      </c>
      <c r="W4" s="39" t="s">
        <v>46</v>
      </c>
      <c r="X4" s="39" t="s">
        <v>47</v>
      </c>
      <c r="Y4" s="46"/>
      <c r="Z4" s="39" t="s">
        <v>46</v>
      </c>
      <c r="AA4" s="201"/>
      <c r="AB4" s="188"/>
      <c r="AC4" s="188"/>
      <c r="AD4" s="188"/>
    </row>
    <row r="5" spans="1:30" x14ac:dyDescent="0.2">
      <c r="A5" s="40">
        <v>35</v>
      </c>
      <c r="C5" s="41">
        <v>45896</v>
      </c>
      <c r="D5" s="42"/>
      <c r="E5" s="43">
        <f>C5+6</f>
        <v>45902</v>
      </c>
      <c r="G5" s="71">
        <v>17</v>
      </c>
      <c r="H5" s="71">
        <v>17</v>
      </c>
      <c r="I5" s="71">
        <v>94</v>
      </c>
      <c r="J5" s="71">
        <v>70</v>
      </c>
      <c r="K5" s="52">
        <f>G5+I5</f>
        <v>111</v>
      </c>
      <c r="L5" s="52">
        <f>H5+J5</f>
        <v>87</v>
      </c>
      <c r="M5" s="194"/>
      <c r="N5" s="71">
        <v>0</v>
      </c>
      <c r="O5" s="71">
        <v>0</v>
      </c>
      <c r="P5" s="71">
        <v>0</v>
      </c>
      <c r="Q5" s="71">
        <v>0</v>
      </c>
      <c r="R5" s="52">
        <f>N5+P5</f>
        <v>0</v>
      </c>
      <c r="S5" s="52">
        <f>O5+Q5</f>
        <v>0</v>
      </c>
      <c r="T5" s="52"/>
      <c r="U5" s="221">
        <v>0</v>
      </c>
      <c r="V5" s="221">
        <v>0</v>
      </c>
      <c r="W5" s="52">
        <v>1</v>
      </c>
      <c r="X5" s="52">
        <v>1</v>
      </c>
      <c r="Y5" s="53"/>
      <c r="Z5" s="53">
        <f>K5+R5+W5</f>
        <v>112</v>
      </c>
      <c r="AB5" s="203">
        <f>IFERROR(L5/K5, "-")</f>
        <v>0.78378378378378377</v>
      </c>
      <c r="AC5" s="203" t="str">
        <f>IFERROR(S5/R5, "-")</f>
        <v>-</v>
      </c>
      <c r="AD5" s="203">
        <f>IFERROR(X5/W5, "-")</f>
        <v>1</v>
      </c>
    </row>
    <row r="6" spans="1:30" x14ac:dyDescent="0.2">
      <c r="A6" s="40">
        <v>36</v>
      </c>
      <c r="C6" s="41">
        <f>C5+7</f>
        <v>45903</v>
      </c>
      <c r="D6" s="42"/>
      <c r="E6" s="43">
        <f>C6+6</f>
        <v>45909</v>
      </c>
      <c r="G6" s="71">
        <v>39</v>
      </c>
      <c r="H6" s="71">
        <v>35</v>
      </c>
      <c r="I6" s="71">
        <v>190</v>
      </c>
      <c r="J6" s="71">
        <v>106</v>
      </c>
      <c r="K6" s="52">
        <f t="shared" ref="K6:K7" si="0">G6+I6</f>
        <v>229</v>
      </c>
      <c r="L6" s="52">
        <f t="shared" ref="L6:L7" si="1">H6+J6</f>
        <v>141</v>
      </c>
      <c r="M6" s="194"/>
      <c r="N6" s="71">
        <v>0</v>
      </c>
      <c r="O6" s="71">
        <v>0</v>
      </c>
      <c r="P6" s="71">
        <v>0</v>
      </c>
      <c r="Q6" s="71">
        <v>0</v>
      </c>
      <c r="R6" s="52">
        <f t="shared" ref="R6:R7" si="2">N6+P6</f>
        <v>0</v>
      </c>
      <c r="S6" s="52">
        <f t="shared" ref="S6:S7" si="3">O6+Q6</f>
        <v>0</v>
      </c>
      <c r="T6" s="52"/>
      <c r="U6" s="52">
        <v>0</v>
      </c>
      <c r="V6" s="52">
        <v>0</v>
      </c>
      <c r="W6" s="52">
        <v>0</v>
      </c>
      <c r="X6" s="52">
        <v>0</v>
      </c>
      <c r="Y6" s="53"/>
      <c r="Z6" s="53">
        <f t="shared" ref="Z6:Z15" si="4">K6+R6+W6</f>
        <v>229</v>
      </c>
      <c r="AB6" s="203">
        <f t="shared" ref="AB6:AB7" si="5">IFERROR(L6/K6, "-")</f>
        <v>0.61572052401746724</v>
      </c>
      <c r="AC6" s="203" t="str">
        <f t="shared" ref="AC6:AC7" si="6">IFERROR(S6/R6, "-")</f>
        <v>-</v>
      </c>
      <c r="AD6" s="203" t="str">
        <f t="shared" ref="AD6:AD7" si="7">IFERROR(X6/W6, "-")</f>
        <v>-</v>
      </c>
    </row>
    <row r="7" spans="1:30" x14ac:dyDescent="0.2">
      <c r="A7" s="40">
        <v>37</v>
      </c>
      <c r="C7" s="41">
        <f t="shared" ref="C7:C12" si="8">C6+7</f>
        <v>45910</v>
      </c>
      <c r="D7" s="42"/>
      <c r="E7" s="43">
        <f t="shared" ref="E7" si="9">C7+6</f>
        <v>45916</v>
      </c>
      <c r="G7" s="71">
        <v>123</v>
      </c>
      <c r="H7" s="71">
        <v>82</v>
      </c>
      <c r="I7" s="71">
        <v>419</v>
      </c>
      <c r="J7" s="71">
        <v>154</v>
      </c>
      <c r="K7" s="52">
        <f t="shared" si="0"/>
        <v>542</v>
      </c>
      <c r="L7" s="52">
        <f t="shared" si="1"/>
        <v>236</v>
      </c>
      <c r="M7" s="194"/>
      <c r="N7" s="71">
        <v>0</v>
      </c>
      <c r="O7" s="71">
        <v>0</v>
      </c>
      <c r="P7" s="71">
        <v>0</v>
      </c>
      <c r="Q7" s="71">
        <v>0</v>
      </c>
      <c r="R7" s="52">
        <f t="shared" si="2"/>
        <v>0</v>
      </c>
      <c r="S7" s="52">
        <f t="shared" si="3"/>
        <v>0</v>
      </c>
      <c r="T7" s="52"/>
      <c r="U7" s="52">
        <v>0</v>
      </c>
      <c r="V7" s="52">
        <v>0</v>
      </c>
      <c r="W7" s="52">
        <v>1</v>
      </c>
      <c r="X7" s="52">
        <v>1</v>
      </c>
      <c r="Y7" s="53"/>
      <c r="Z7" s="53">
        <f t="shared" si="4"/>
        <v>543</v>
      </c>
      <c r="AB7" s="203">
        <f t="shared" si="5"/>
        <v>0.43542435424354242</v>
      </c>
      <c r="AC7" s="203" t="str">
        <f t="shared" si="6"/>
        <v>-</v>
      </c>
      <c r="AD7" s="203">
        <f t="shared" si="7"/>
        <v>1</v>
      </c>
    </row>
    <row r="8" spans="1:30" x14ac:dyDescent="0.2">
      <c r="A8" s="40">
        <v>38</v>
      </c>
      <c r="C8" s="41">
        <f t="shared" si="8"/>
        <v>45917</v>
      </c>
      <c r="D8" s="42"/>
      <c r="E8" s="43">
        <f t="shared" ref="E8" si="10">C8+6</f>
        <v>45923</v>
      </c>
      <c r="G8" s="71">
        <v>1066</v>
      </c>
      <c r="H8" s="71">
        <v>190</v>
      </c>
      <c r="I8" s="71">
        <v>1190</v>
      </c>
      <c r="J8" s="71">
        <v>265</v>
      </c>
      <c r="K8" s="52">
        <f t="shared" ref="K8:K11" si="11">G8+I8</f>
        <v>2256</v>
      </c>
      <c r="L8" s="52">
        <f t="shared" ref="L8:L11" si="12">H8+J8</f>
        <v>455</v>
      </c>
      <c r="M8" s="194"/>
      <c r="N8" s="71">
        <v>0</v>
      </c>
      <c r="O8" s="71">
        <v>0</v>
      </c>
      <c r="P8" s="71">
        <v>0</v>
      </c>
      <c r="Q8" s="71">
        <v>0</v>
      </c>
      <c r="R8" s="52">
        <f t="shared" ref="R8" si="13">N8+P8</f>
        <v>0</v>
      </c>
      <c r="S8" s="52">
        <f t="shared" ref="S8" si="14">O8+Q8</f>
        <v>0</v>
      </c>
      <c r="T8" s="52"/>
      <c r="U8" s="52">
        <v>0</v>
      </c>
      <c r="V8" s="52">
        <v>0</v>
      </c>
      <c r="W8" s="52">
        <v>0</v>
      </c>
      <c r="X8" s="52">
        <v>0</v>
      </c>
      <c r="Y8" s="53"/>
      <c r="Z8" s="53">
        <f t="shared" si="4"/>
        <v>2256</v>
      </c>
      <c r="AB8" s="203">
        <f t="shared" ref="AB8:AB15" si="15">IFERROR(L8/K8, "-")</f>
        <v>0.20168439716312056</v>
      </c>
      <c r="AC8" s="203" t="str">
        <f t="shared" ref="AC8:AC15" si="16">IFERROR(S8/R8, "-")</f>
        <v>-</v>
      </c>
      <c r="AD8" s="203" t="str">
        <f t="shared" ref="AD8:AD15" si="17">IFERROR(X8/W8, "-")</f>
        <v>-</v>
      </c>
    </row>
    <row r="9" spans="1:30" x14ac:dyDescent="0.2">
      <c r="A9" s="40">
        <v>39</v>
      </c>
      <c r="C9" s="41">
        <f t="shared" si="8"/>
        <v>45924</v>
      </c>
      <c r="D9" s="42"/>
      <c r="E9" s="43">
        <f t="shared" ref="E9" si="18">C9+6</f>
        <v>45930</v>
      </c>
      <c r="G9" s="71">
        <v>1052</v>
      </c>
      <c r="H9" s="71">
        <v>244</v>
      </c>
      <c r="I9" s="71">
        <v>1023</v>
      </c>
      <c r="J9" s="71">
        <v>211</v>
      </c>
      <c r="K9" s="36">
        <f t="shared" si="11"/>
        <v>2075</v>
      </c>
      <c r="L9" s="36">
        <f t="shared" si="12"/>
        <v>455</v>
      </c>
      <c r="M9" s="194"/>
      <c r="N9" s="71">
        <v>0</v>
      </c>
      <c r="O9" s="71">
        <v>0</v>
      </c>
      <c r="P9" s="71">
        <v>0</v>
      </c>
      <c r="Q9" s="71">
        <v>0</v>
      </c>
      <c r="R9" s="52">
        <f t="shared" ref="R9:R11" si="19">N9+P9</f>
        <v>0</v>
      </c>
      <c r="S9" s="52">
        <f t="shared" ref="S9:S11" si="20">O9+Q9</f>
        <v>0</v>
      </c>
      <c r="T9" s="52"/>
      <c r="U9" s="52">
        <v>1</v>
      </c>
      <c r="V9" s="52">
        <v>1</v>
      </c>
      <c r="W9" s="52">
        <v>5</v>
      </c>
      <c r="X9" s="52">
        <v>5</v>
      </c>
      <c r="Y9" s="53"/>
      <c r="Z9" s="53">
        <f t="shared" si="4"/>
        <v>2080</v>
      </c>
      <c r="AB9" s="203">
        <f t="shared" si="15"/>
        <v>0.21927710843373494</v>
      </c>
      <c r="AC9" s="203" t="str">
        <f t="shared" si="16"/>
        <v>-</v>
      </c>
      <c r="AD9" s="203">
        <f t="shared" si="17"/>
        <v>1</v>
      </c>
    </row>
    <row r="10" spans="1:30" x14ac:dyDescent="0.2">
      <c r="A10" s="40">
        <v>40</v>
      </c>
      <c r="C10" s="41">
        <f t="shared" si="8"/>
        <v>45931</v>
      </c>
      <c r="D10" s="42"/>
      <c r="E10" s="43">
        <f t="shared" ref="E10:E12" si="21">C10+6</f>
        <v>45937</v>
      </c>
      <c r="G10" s="71">
        <v>600</v>
      </c>
      <c r="H10" s="71">
        <v>105</v>
      </c>
      <c r="I10" s="71">
        <v>1060</v>
      </c>
      <c r="J10" s="71">
        <v>134</v>
      </c>
      <c r="K10" s="36">
        <f t="shared" si="11"/>
        <v>1660</v>
      </c>
      <c r="L10" s="36">
        <f t="shared" si="12"/>
        <v>239</v>
      </c>
      <c r="M10" s="194"/>
      <c r="N10" s="71">
        <v>0</v>
      </c>
      <c r="O10" s="71">
        <v>0</v>
      </c>
      <c r="P10" s="71">
        <v>0</v>
      </c>
      <c r="Q10" s="71">
        <v>0</v>
      </c>
      <c r="R10" s="52">
        <f t="shared" si="19"/>
        <v>0</v>
      </c>
      <c r="S10" s="52">
        <f t="shared" si="20"/>
        <v>0</v>
      </c>
      <c r="T10" s="52"/>
      <c r="U10" s="52">
        <v>0</v>
      </c>
      <c r="V10" s="52">
        <v>0</v>
      </c>
      <c r="W10" s="52">
        <v>7</v>
      </c>
      <c r="X10" s="52">
        <v>7</v>
      </c>
      <c r="Y10" s="53"/>
      <c r="Z10" s="53">
        <f t="shared" si="4"/>
        <v>1667</v>
      </c>
      <c r="AB10" s="203">
        <f t="shared" si="15"/>
        <v>0.14397590361445783</v>
      </c>
      <c r="AC10" s="203" t="str">
        <f t="shared" si="16"/>
        <v>-</v>
      </c>
      <c r="AD10" s="203">
        <f t="shared" si="17"/>
        <v>1</v>
      </c>
    </row>
    <row r="11" spans="1:30" x14ac:dyDescent="0.2">
      <c r="A11" s="40">
        <v>41</v>
      </c>
      <c r="C11" s="41">
        <f t="shared" si="8"/>
        <v>45938</v>
      </c>
      <c r="D11" s="42"/>
      <c r="E11" s="43">
        <f t="shared" si="21"/>
        <v>45944</v>
      </c>
      <c r="G11" s="71">
        <v>141</v>
      </c>
      <c r="H11" s="71">
        <v>21</v>
      </c>
      <c r="I11" s="71">
        <v>250</v>
      </c>
      <c r="J11" s="71">
        <v>61</v>
      </c>
      <c r="K11" s="36">
        <f t="shared" si="11"/>
        <v>391</v>
      </c>
      <c r="L11" s="36">
        <f t="shared" si="12"/>
        <v>82</v>
      </c>
      <c r="M11" s="194"/>
      <c r="N11" s="71">
        <v>0</v>
      </c>
      <c r="O11" s="71">
        <v>0</v>
      </c>
      <c r="P11" s="71">
        <v>0</v>
      </c>
      <c r="Q11" s="71">
        <v>0</v>
      </c>
      <c r="R11" s="52">
        <f t="shared" si="19"/>
        <v>0</v>
      </c>
      <c r="S11" s="36">
        <f t="shared" si="20"/>
        <v>0</v>
      </c>
      <c r="T11" s="52"/>
      <c r="U11" s="52">
        <v>0</v>
      </c>
      <c r="V11" s="52">
        <v>0</v>
      </c>
      <c r="W11" s="52">
        <v>9</v>
      </c>
      <c r="X11" s="52">
        <v>9</v>
      </c>
      <c r="Y11" s="53"/>
      <c r="Z11" s="53">
        <f t="shared" si="4"/>
        <v>400</v>
      </c>
      <c r="AB11" s="203">
        <f t="shared" si="15"/>
        <v>0.20971867007672634</v>
      </c>
      <c r="AC11" s="203" t="str">
        <f t="shared" si="16"/>
        <v>-</v>
      </c>
      <c r="AD11" s="203">
        <f t="shared" si="17"/>
        <v>1</v>
      </c>
    </row>
    <row r="12" spans="1:30" x14ac:dyDescent="0.2">
      <c r="A12" s="40">
        <v>42</v>
      </c>
      <c r="C12" s="41">
        <f t="shared" si="8"/>
        <v>45945</v>
      </c>
      <c r="D12" s="42"/>
      <c r="E12" s="43">
        <f t="shared" si="21"/>
        <v>45951</v>
      </c>
      <c r="G12" s="259" t="s">
        <v>178</v>
      </c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53"/>
      <c r="Z12" s="53">
        <f t="shared" si="4"/>
        <v>0</v>
      </c>
      <c r="AB12" s="203"/>
      <c r="AC12" s="203"/>
      <c r="AD12" s="203"/>
    </row>
    <row r="13" spans="1:30" x14ac:dyDescent="0.2">
      <c r="A13" s="33" t="s">
        <v>144</v>
      </c>
      <c r="B13" s="33"/>
      <c r="C13" s="33"/>
      <c r="D13" s="33"/>
      <c r="E13" s="33"/>
      <c r="F13" s="33"/>
      <c r="G13" s="52">
        <f t="shared" ref="G13:L13" si="22">SUM(G5:G12)</f>
        <v>3038</v>
      </c>
      <c r="H13" s="52">
        <f t="shared" si="22"/>
        <v>694</v>
      </c>
      <c r="I13" s="52">
        <f t="shared" si="22"/>
        <v>4226</v>
      </c>
      <c r="J13" s="52">
        <f t="shared" si="22"/>
        <v>1001</v>
      </c>
      <c r="K13" s="52">
        <f t="shared" si="22"/>
        <v>7264</v>
      </c>
      <c r="L13" s="52">
        <f t="shared" si="22"/>
        <v>1695</v>
      </c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3"/>
      <c r="Z13" s="53"/>
      <c r="AB13" s="203"/>
      <c r="AC13" s="203"/>
      <c r="AD13" s="203"/>
    </row>
    <row r="14" spans="1:30" ht="13.5" thickBot="1" x14ac:dyDescent="0.25">
      <c r="A14" s="195"/>
      <c r="B14" s="195"/>
      <c r="C14" s="195"/>
      <c r="D14" s="195"/>
      <c r="E14" s="195"/>
      <c r="F14" s="196"/>
      <c r="G14" s="197"/>
      <c r="H14" s="197"/>
      <c r="I14" s="197"/>
      <c r="J14" s="197"/>
      <c r="K14" s="197"/>
      <c r="L14" s="197"/>
      <c r="M14" s="198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203"/>
      <c r="AC14" s="203"/>
      <c r="AD14" s="203"/>
    </row>
    <row r="15" spans="1:30" ht="13.5" thickTop="1" x14ac:dyDescent="0.2">
      <c r="A15" s="40">
        <v>43</v>
      </c>
      <c r="C15" s="43">
        <f>C12+7</f>
        <v>45952</v>
      </c>
      <c r="D15" s="193"/>
      <c r="E15" s="87">
        <f t="shared" ref="E15:E20" si="23">C15+6</f>
        <v>45958</v>
      </c>
      <c r="G15" s="40">
        <v>205</v>
      </c>
      <c r="H15" s="71">
        <v>51</v>
      </c>
      <c r="I15" s="71">
        <v>900</v>
      </c>
      <c r="J15" s="71">
        <v>467</v>
      </c>
      <c r="K15" s="52">
        <f t="shared" ref="K15:L17" si="24">G15+I15</f>
        <v>1105</v>
      </c>
      <c r="L15" s="52">
        <f t="shared" si="24"/>
        <v>518</v>
      </c>
      <c r="M15" s="198"/>
      <c r="N15" s="71">
        <v>0</v>
      </c>
      <c r="O15" s="40">
        <v>0</v>
      </c>
      <c r="P15" s="71">
        <v>3</v>
      </c>
      <c r="Q15" s="71">
        <v>3</v>
      </c>
      <c r="R15" s="52">
        <f t="shared" ref="R15:S17" si="25">N15+P15</f>
        <v>3</v>
      </c>
      <c r="S15" s="52">
        <f t="shared" si="25"/>
        <v>3</v>
      </c>
      <c r="T15" s="53"/>
      <c r="U15" s="52">
        <v>0</v>
      </c>
      <c r="V15" s="52">
        <v>0</v>
      </c>
      <c r="W15" s="52">
        <v>27</v>
      </c>
      <c r="X15" s="36">
        <v>27</v>
      </c>
      <c r="Y15" s="53"/>
      <c r="Z15" s="53">
        <f t="shared" si="4"/>
        <v>1135</v>
      </c>
      <c r="AB15" s="203">
        <f t="shared" si="15"/>
        <v>0.46877828054298643</v>
      </c>
      <c r="AC15" s="203">
        <f t="shared" si="16"/>
        <v>1</v>
      </c>
      <c r="AD15" s="203">
        <f t="shared" si="17"/>
        <v>1</v>
      </c>
    </row>
    <row r="16" spans="1:30" x14ac:dyDescent="0.2">
      <c r="A16" s="40">
        <v>44</v>
      </c>
      <c r="C16" s="43">
        <f t="shared" ref="C16:C21" si="26">C15+7</f>
        <v>45959</v>
      </c>
      <c r="D16" s="193"/>
      <c r="E16" s="87">
        <f t="shared" si="23"/>
        <v>45965</v>
      </c>
      <c r="G16" s="71">
        <v>425</v>
      </c>
      <c r="H16" s="71">
        <v>100</v>
      </c>
      <c r="I16" s="71">
        <v>2133</v>
      </c>
      <c r="J16" s="71">
        <v>412</v>
      </c>
      <c r="K16" s="52">
        <f t="shared" si="24"/>
        <v>2558</v>
      </c>
      <c r="L16" s="52">
        <f t="shared" si="24"/>
        <v>512</v>
      </c>
      <c r="M16" s="198"/>
      <c r="N16" s="71">
        <v>0</v>
      </c>
      <c r="O16" s="71">
        <v>0</v>
      </c>
      <c r="P16" s="71">
        <v>2</v>
      </c>
      <c r="Q16" s="71">
        <v>2</v>
      </c>
      <c r="R16" s="52">
        <f t="shared" si="25"/>
        <v>2</v>
      </c>
      <c r="S16" s="52">
        <f t="shared" si="25"/>
        <v>2</v>
      </c>
      <c r="T16" s="53"/>
      <c r="U16" s="52">
        <v>0</v>
      </c>
      <c r="V16" s="52">
        <v>0</v>
      </c>
      <c r="W16" s="52">
        <v>40</v>
      </c>
      <c r="X16" s="52">
        <v>38</v>
      </c>
      <c r="Y16" s="53"/>
      <c r="Z16" s="53">
        <f t="shared" ref="Z16" si="27">K16+R16+W16</f>
        <v>2600</v>
      </c>
      <c r="AB16" s="203">
        <f t="shared" ref="AB16" si="28">IFERROR(L16/K16, "-")</f>
        <v>0.20015637216575449</v>
      </c>
      <c r="AC16" s="203">
        <f t="shared" ref="AC16" si="29">IFERROR(S16/R16, "-")</f>
        <v>1</v>
      </c>
      <c r="AD16" s="203">
        <f t="shared" ref="AD16" si="30">IFERROR(X16/W16, "-")</f>
        <v>0.95</v>
      </c>
    </row>
    <row r="17" spans="1:30" x14ac:dyDescent="0.2">
      <c r="A17" s="40">
        <v>45</v>
      </c>
      <c r="C17" s="43">
        <f t="shared" si="26"/>
        <v>45966</v>
      </c>
      <c r="D17" s="193"/>
      <c r="E17" s="87">
        <f t="shared" si="23"/>
        <v>45972</v>
      </c>
      <c r="G17" s="71">
        <v>194</v>
      </c>
      <c r="H17" s="71">
        <v>25</v>
      </c>
      <c r="I17" s="71">
        <v>995</v>
      </c>
      <c r="J17" s="71">
        <v>103</v>
      </c>
      <c r="K17" s="52">
        <f t="shared" si="24"/>
        <v>1189</v>
      </c>
      <c r="L17" s="52">
        <f t="shared" si="24"/>
        <v>128</v>
      </c>
      <c r="M17" s="198"/>
      <c r="N17" s="71">
        <v>0</v>
      </c>
      <c r="O17" s="71">
        <v>0</v>
      </c>
      <c r="P17" s="71">
        <v>0</v>
      </c>
      <c r="Q17" s="71">
        <v>0</v>
      </c>
      <c r="R17" s="52">
        <f t="shared" si="25"/>
        <v>0</v>
      </c>
      <c r="S17" s="52">
        <f t="shared" si="25"/>
        <v>0</v>
      </c>
      <c r="T17" s="53"/>
      <c r="U17" s="52">
        <v>1</v>
      </c>
      <c r="V17" s="52">
        <v>1</v>
      </c>
      <c r="W17" s="52">
        <v>30</v>
      </c>
      <c r="X17" s="52">
        <v>28</v>
      </c>
      <c r="Y17" s="199"/>
      <c r="Z17" s="53">
        <f t="shared" ref="Z17" si="31">K17+R17+W17</f>
        <v>1219</v>
      </c>
      <c r="AB17" s="203">
        <f t="shared" ref="AB17" si="32">IFERROR(L17/K17, "-")</f>
        <v>0.10765349032800672</v>
      </c>
      <c r="AC17" s="203" t="str">
        <f t="shared" ref="AC17" si="33">IFERROR(S17/R17, "-")</f>
        <v>-</v>
      </c>
      <c r="AD17" s="203">
        <f t="shared" ref="AD17" si="34">IFERROR(X17/W17, "-")</f>
        <v>0.93333333333333335</v>
      </c>
    </row>
    <row r="18" spans="1:30" x14ac:dyDescent="0.2">
      <c r="A18" s="40">
        <v>46</v>
      </c>
      <c r="C18" s="43">
        <f t="shared" si="26"/>
        <v>45973</v>
      </c>
      <c r="D18" s="193"/>
      <c r="E18" s="87">
        <f t="shared" si="23"/>
        <v>45979</v>
      </c>
      <c r="G18" s="71">
        <v>139</v>
      </c>
      <c r="H18" s="71">
        <v>35</v>
      </c>
      <c r="I18" s="71">
        <v>930</v>
      </c>
      <c r="J18" s="71">
        <v>257</v>
      </c>
      <c r="K18" s="52">
        <f t="shared" ref="K18:K19" si="35">G18+I18</f>
        <v>1069</v>
      </c>
      <c r="L18" s="52">
        <f t="shared" ref="L18:L19" si="36">H18+J18</f>
        <v>292</v>
      </c>
      <c r="M18" s="198"/>
      <c r="N18" s="71">
        <v>0</v>
      </c>
      <c r="O18" s="71">
        <v>0</v>
      </c>
      <c r="P18" s="71">
        <v>11</v>
      </c>
      <c r="Q18" s="71">
        <v>6</v>
      </c>
      <c r="R18" s="52">
        <f t="shared" ref="R18:R19" si="37">N18+P18</f>
        <v>11</v>
      </c>
      <c r="S18" s="52">
        <f t="shared" ref="S18:S19" si="38">O18+Q18</f>
        <v>6</v>
      </c>
      <c r="T18" s="53"/>
      <c r="U18" s="52">
        <v>0</v>
      </c>
      <c r="V18" s="52">
        <v>0</v>
      </c>
      <c r="W18" s="52">
        <v>190</v>
      </c>
      <c r="X18" s="52">
        <v>187</v>
      </c>
      <c r="Y18" s="53"/>
      <c r="Z18" s="53">
        <f t="shared" ref="Z18:Z34" si="39">K18+R18+W18</f>
        <v>1270</v>
      </c>
      <c r="AB18" s="203">
        <f t="shared" ref="AB18:AB19" si="40">IFERROR(L18/K18, "-")</f>
        <v>0.27315247895229189</v>
      </c>
      <c r="AC18" s="203">
        <f t="shared" ref="AC18:AC19" si="41">IFERROR(S18/R18, "-")</f>
        <v>0.54545454545454541</v>
      </c>
      <c r="AD18" s="203">
        <f t="shared" ref="AD18:AD19" si="42">IFERROR(X18/W18, "-")</f>
        <v>0.98421052631578942</v>
      </c>
    </row>
    <row r="19" spans="1:30" x14ac:dyDescent="0.2">
      <c r="A19" s="40">
        <v>47</v>
      </c>
      <c r="C19" s="43">
        <f t="shared" si="26"/>
        <v>45980</v>
      </c>
      <c r="D19" s="193"/>
      <c r="E19" s="87">
        <f t="shared" si="23"/>
        <v>45986</v>
      </c>
      <c r="G19" s="71">
        <v>194</v>
      </c>
      <c r="H19" s="71">
        <v>55</v>
      </c>
      <c r="I19" s="71">
        <v>1411</v>
      </c>
      <c r="J19" s="71">
        <v>314</v>
      </c>
      <c r="K19" s="52">
        <f t="shared" si="35"/>
        <v>1605</v>
      </c>
      <c r="L19" s="52">
        <f t="shared" si="36"/>
        <v>369</v>
      </c>
      <c r="M19" s="198"/>
      <c r="N19" s="71">
        <v>2</v>
      </c>
      <c r="O19" s="71">
        <v>2</v>
      </c>
      <c r="P19" s="71">
        <v>27</v>
      </c>
      <c r="Q19" s="71">
        <v>23</v>
      </c>
      <c r="R19" s="52">
        <f t="shared" si="37"/>
        <v>29</v>
      </c>
      <c r="S19" s="52">
        <f t="shared" si="38"/>
        <v>25</v>
      </c>
      <c r="T19" s="53"/>
      <c r="U19" s="52">
        <v>11</v>
      </c>
      <c r="V19" s="52">
        <v>10</v>
      </c>
      <c r="W19" s="52">
        <v>462</v>
      </c>
      <c r="X19" s="52">
        <v>456</v>
      </c>
      <c r="Y19" s="53"/>
      <c r="Z19" s="53">
        <f t="shared" si="39"/>
        <v>2096</v>
      </c>
      <c r="AB19" s="203">
        <f t="shared" si="40"/>
        <v>0.22990654205607478</v>
      </c>
      <c r="AC19" s="203">
        <f t="shared" si="41"/>
        <v>0.86206896551724133</v>
      </c>
      <c r="AD19" s="203">
        <f t="shared" si="42"/>
        <v>0.98701298701298701</v>
      </c>
    </row>
    <row r="20" spans="1:30" x14ac:dyDescent="0.2">
      <c r="A20" s="40">
        <v>48</v>
      </c>
      <c r="C20" s="43">
        <f t="shared" si="26"/>
        <v>45987</v>
      </c>
      <c r="D20" s="193"/>
      <c r="E20" s="87">
        <f t="shared" si="23"/>
        <v>45993</v>
      </c>
      <c r="G20" s="71">
        <v>9</v>
      </c>
      <c r="H20" s="71">
        <v>1</v>
      </c>
      <c r="I20" s="71">
        <v>69</v>
      </c>
      <c r="J20" s="71">
        <v>14</v>
      </c>
      <c r="K20" s="52">
        <f t="shared" ref="K20" si="43">G20+I20</f>
        <v>78</v>
      </c>
      <c r="L20" s="52">
        <f t="shared" ref="L20" si="44">H20+J20</f>
        <v>15</v>
      </c>
      <c r="M20" s="198"/>
      <c r="N20" s="71">
        <v>0</v>
      </c>
      <c r="O20" s="71">
        <v>0</v>
      </c>
      <c r="P20" s="71">
        <v>1</v>
      </c>
      <c r="Q20" s="71">
        <v>1</v>
      </c>
      <c r="R20" s="52">
        <f t="shared" ref="R20" si="45">N20+P20</f>
        <v>1</v>
      </c>
      <c r="S20" s="52">
        <f t="shared" ref="S20" si="46">O20+Q20</f>
        <v>1</v>
      </c>
      <c r="T20" s="53"/>
      <c r="U20" s="52">
        <v>2</v>
      </c>
      <c r="V20" s="52">
        <v>1</v>
      </c>
      <c r="W20" s="52">
        <v>89</v>
      </c>
      <c r="X20" s="52">
        <v>84</v>
      </c>
      <c r="Y20" s="53"/>
      <c r="Z20" s="53">
        <f t="shared" si="39"/>
        <v>168</v>
      </c>
      <c r="AB20" s="203">
        <f t="shared" ref="AB20" si="47">IFERROR(L20/K20, "-")</f>
        <v>0.19230769230769232</v>
      </c>
      <c r="AC20" s="203">
        <f t="shared" ref="AC20" si="48">IFERROR(S20/R20, "-")</f>
        <v>1</v>
      </c>
      <c r="AD20" s="203">
        <f t="shared" ref="AD20" si="49">IFERROR(X20/W20, "-")</f>
        <v>0.9438202247191011</v>
      </c>
    </row>
    <row r="21" spans="1:30" x14ac:dyDescent="0.2">
      <c r="A21" s="40">
        <v>49</v>
      </c>
      <c r="C21" s="43">
        <f t="shared" si="26"/>
        <v>45994</v>
      </c>
      <c r="D21" s="193"/>
      <c r="E21" s="87">
        <f t="shared" ref="E21" si="50">C21+6</f>
        <v>46000</v>
      </c>
      <c r="G21" s="71">
        <v>1</v>
      </c>
      <c r="H21" s="71">
        <v>1</v>
      </c>
      <c r="I21" s="71">
        <v>62</v>
      </c>
      <c r="J21" s="71">
        <v>11</v>
      </c>
      <c r="K21" s="52">
        <f t="shared" ref="K21:K34" si="51">G21+I21</f>
        <v>63</v>
      </c>
      <c r="L21" s="52">
        <f t="shared" ref="L21:L34" si="52">H21+J21</f>
        <v>12</v>
      </c>
      <c r="M21" s="198"/>
      <c r="N21" s="71">
        <v>0</v>
      </c>
      <c r="O21" s="71">
        <v>0</v>
      </c>
      <c r="P21" s="71">
        <v>5</v>
      </c>
      <c r="Q21" s="71">
        <v>4</v>
      </c>
      <c r="R21" s="52">
        <f t="shared" ref="R21:R33" si="53">N21+P21</f>
        <v>5</v>
      </c>
      <c r="S21" s="52">
        <f t="shared" ref="S21:S33" si="54">O21+Q21</f>
        <v>4</v>
      </c>
      <c r="T21" s="53"/>
      <c r="U21" s="52">
        <v>0</v>
      </c>
      <c r="V21" s="52">
        <v>0</v>
      </c>
      <c r="W21" s="52">
        <v>28</v>
      </c>
      <c r="X21" s="52">
        <v>28</v>
      </c>
      <c r="Y21" s="53"/>
      <c r="Z21" s="53">
        <f t="shared" si="39"/>
        <v>96</v>
      </c>
      <c r="AB21" s="203">
        <f t="shared" ref="AB21:AB34" si="55">IFERROR(L21/K21, "-")</f>
        <v>0.19047619047619047</v>
      </c>
      <c r="AC21" s="203">
        <f t="shared" ref="AC21:AC34" si="56">IFERROR(S21/R21, "-")</f>
        <v>0.8</v>
      </c>
      <c r="AD21" s="203">
        <f t="shared" ref="AD21:AD34" si="57">IFERROR(X21/W21, "-")</f>
        <v>1</v>
      </c>
    </row>
    <row r="22" spans="1:30" x14ac:dyDescent="0.2">
      <c r="A22" s="40">
        <v>50</v>
      </c>
      <c r="C22" s="43">
        <f t="shared" ref="C22:C24" si="58">C21+7</f>
        <v>46001</v>
      </c>
      <c r="D22" s="193"/>
      <c r="E22" s="87">
        <f t="shared" ref="E22:E24" si="59">C22+6</f>
        <v>46007</v>
      </c>
      <c r="G22" s="71">
        <v>0</v>
      </c>
      <c r="H22" s="71">
        <v>0</v>
      </c>
      <c r="I22" s="71">
        <v>0</v>
      </c>
      <c r="J22" s="71">
        <v>0</v>
      </c>
      <c r="K22" s="52">
        <f t="shared" si="51"/>
        <v>0</v>
      </c>
      <c r="L22" s="52">
        <f t="shared" si="52"/>
        <v>0</v>
      </c>
      <c r="M22" s="198"/>
      <c r="N22" s="71">
        <v>0</v>
      </c>
      <c r="O22" s="71">
        <v>0</v>
      </c>
      <c r="P22" s="71">
        <v>6</v>
      </c>
      <c r="Q22" s="71">
        <v>4</v>
      </c>
      <c r="R22" s="52">
        <f t="shared" si="53"/>
        <v>6</v>
      </c>
      <c r="S22" s="52">
        <f t="shared" si="54"/>
        <v>4</v>
      </c>
      <c r="T22" s="53"/>
      <c r="U22" s="52">
        <v>0</v>
      </c>
      <c r="V22" s="52">
        <v>0</v>
      </c>
      <c r="W22" s="52">
        <v>1</v>
      </c>
      <c r="X22" s="52">
        <v>0</v>
      </c>
      <c r="Y22" s="53"/>
      <c r="Z22" s="53">
        <f t="shared" si="39"/>
        <v>7</v>
      </c>
      <c r="AB22" s="203" t="str">
        <f t="shared" si="55"/>
        <v>-</v>
      </c>
      <c r="AC22" s="203">
        <f t="shared" si="56"/>
        <v>0.66666666666666663</v>
      </c>
      <c r="AD22" s="203">
        <f t="shared" si="57"/>
        <v>0</v>
      </c>
    </row>
    <row r="23" spans="1:30" x14ac:dyDescent="0.2">
      <c r="A23" s="40">
        <v>51</v>
      </c>
      <c r="C23" s="43">
        <f t="shared" si="58"/>
        <v>46008</v>
      </c>
      <c r="D23" s="193"/>
      <c r="E23" s="87">
        <f t="shared" si="59"/>
        <v>46014</v>
      </c>
      <c r="G23" s="71">
        <v>0</v>
      </c>
      <c r="H23" s="71">
        <v>0</v>
      </c>
      <c r="I23" s="71">
        <v>0</v>
      </c>
      <c r="J23" s="71">
        <v>0</v>
      </c>
      <c r="K23" s="52">
        <f t="shared" si="51"/>
        <v>0</v>
      </c>
      <c r="L23" s="52">
        <f t="shared" si="52"/>
        <v>0</v>
      </c>
      <c r="M23" s="198"/>
      <c r="N23" s="71">
        <v>0</v>
      </c>
      <c r="O23" s="71">
        <v>0</v>
      </c>
      <c r="P23" s="71">
        <v>0</v>
      </c>
      <c r="Q23" s="71">
        <v>0</v>
      </c>
      <c r="R23" s="52">
        <f t="shared" si="53"/>
        <v>0</v>
      </c>
      <c r="S23" s="52">
        <f t="shared" si="54"/>
        <v>0</v>
      </c>
      <c r="T23" s="53"/>
      <c r="U23" s="52">
        <v>0</v>
      </c>
      <c r="V23" s="52">
        <v>0</v>
      </c>
      <c r="W23" s="52">
        <v>8</v>
      </c>
      <c r="X23" s="52">
        <v>0</v>
      </c>
      <c r="Y23" s="53"/>
      <c r="Z23" s="53">
        <f t="shared" si="39"/>
        <v>8</v>
      </c>
      <c r="AB23" s="203" t="str">
        <f t="shared" si="55"/>
        <v>-</v>
      </c>
      <c r="AC23" s="203" t="str">
        <f t="shared" si="56"/>
        <v>-</v>
      </c>
      <c r="AD23" s="203">
        <f t="shared" si="57"/>
        <v>0</v>
      </c>
    </row>
    <row r="24" spans="1:30" x14ac:dyDescent="0.2">
      <c r="A24" s="40">
        <v>52</v>
      </c>
      <c r="C24" s="43">
        <f t="shared" si="58"/>
        <v>46015</v>
      </c>
      <c r="D24" s="193"/>
      <c r="E24" s="87">
        <f t="shared" si="59"/>
        <v>46021</v>
      </c>
      <c r="G24" s="71">
        <v>0</v>
      </c>
      <c r="H24" s="71">
        <v>0</v>
      </c>
      <c r="I24" s="71">
        <v>0</v>
      </c>
      <c r="J24" s="71">
        <v>0</v>
      </c>
      <c r="K24" s="52">
        <f t="shared" si="51"/>
        <v>0</v>
      </c>
      <c r="L24" s="52">
        <f t="shared" si="52"/>
        <v>0</v>
      </c>
      <c r="M24" s="198"/>
      <c r="N24" s="71">
        <v>0</v>
      </c>
      <c r="O24" s="71">
        <v>0</v>
      </c>
      <c r="P24" s="71">
        <v>0</v>
      </c>
      <c r="Q24" s="71">
        <v>0</v>
      </c>
      <c r="R24" s="52">
        <f t="shared" si="53"/>
        <v>0</v>
      </c>
      <c r="S24" s="52">
        <f t="shared" si="54"/>
        <v>0</v>
      </c>
      <c r="T24" s="53"/>
      <c r="U24" s="52">
        <v>16</v>
      </c>
      <c r="V24" s="52">
        <v>15</v>
      </c>
      <c r="W24" s="52">
        <v>88</v>
      </c>
      <c r="X24" s="52">
        <v>75</v>
      </c>
      <c r="Y24" s="53"/>
      <c r="Z24" s="53">
        <f t="shared" si="39"/>
        <v>88</v>
      </c>
      <c r="AB24" s="203" t="str">
        <f t="shared" si="55"/>
        <v>-</v>
      </c>
      <c r="AC24" s="203" t="str">
        <f t="shared" si="56"/>
        <v>-</v>
      </c>
      <c r="AD24" s="203">
        <f t="shared" si="57"/>
        <v>0.85227272727272729</v>
      </c>
    </row>
    <row r="25" spans="1:30" x14ac:dyDescent="0.2">
      <c r="A25" s="40">
        <v>1</v>
      </c>
      <c r="C25" s="43">
        <v>46023</v>
      </c>
      <c r="D25" s="193"/>
      <c r="E25" s="87">
        <f t="shared" ref="E25" si="60">C25+6</f>
        <v>46029</v>
      </c>
      <c r="G25" s="71">
        <v>0</v>
      </c>
      <c r="H25" s="71">
        <v>0</v>
      </c>
      <c r="I25" s="71">
        <v>0</v>
      </c>
      <c r="J25" s="71">
        <v>0</v>
      </c>
      <c r="K25" s="52">
        <f t="shared" si="51"/>
        <v>0</v>
      </c>
      <c r="L25" s="52">
        <f t="shared" si="52"/>
        <v>0</v>
      </c>
      <c r="M25" s="198"/>
      <c r="N25" s="71">
        <v>0</v>
      </c>
      <c r="O25" s="71">
        <v>0</v>
      </c>
      <c r="P25" s="71">
        <v>0</v>
      </c>
      <c r="Q25" s="71">
        <v>0</v>
      </c>
      <c r="R25" s="52">
        <f t="shared" si="53"/>
        <v>0</v>
      </c>
      <c r="S25" s="52">
        <f t="shared" si="54"/>
        <v>0</v>
      </c>
      <c r="T25" s="53"/>
      <c r="U25" s="52">
        <v>0</v>
      </c>
      <c r="V25" s="52">
        <v>0</v>
      </c>
      <c r="W25" s="52">
        <v>85</v>
      </c>
      <c r="X25" s="52">
        <v>69</v>
      </c>
      <c r="Y25" s="53"/>
      <c r="Z25" s="53">
        <f t="shared" si="39"/>
        <v>85</v>
      </c>
      <c r="AB25" s="203" t="str">
        <f t="shared" si="55"/>
        <v>-</v>
      </c>
      <c r="AC25" s="203" t="str">
        <f t="shared" si="56"/>
        <v>-</v>
      </c>
      <c r="AD25" s="203">
        <f t="shared" si="57"/>
        <v>0.81176470588235294</v>
      </c>
    </row>
    <row r="26" spans="1:30" x14ac:dyDescent="0.2">
      <c r="A26" s="40">
        <v>2</v>
      </c>
      <c r="C26" s="43">
        <f>C25+7</f>
        <v>46030</v>
      </c>
      <c r="D26" s="193"/>
      <c r="E26" s="87">
        <f t="shared" ref="E26" si="61">C26+6</f>
        <v>46036</v>
      </c>
      <c r="G26" s="71">
        <v>0</v>
      </c>
      <c r="H26" s="71">
        <v>0</v>
      </c>
      <c r="I26" s="71">
        <v>0</v>
      </c>
      <c r="J26" s="71">
        <v>0</v>
      </c>
      <c r="K26" s="52">
        <f t="shared" si="51"/>
        <v>0</v>
      </c>
      <c r="L26" s="52">
        <f t="shared" si="52"/>
        <v>0</v>
      </c>
      <c r="M26" s="198"/>
      <c r="N26" s="71">
        <v>0</v>
      </c>
      <c r="O26" s="71">
        <v>0</v>
      </c>
      <c r="P26" s="71">
        <v>0</v>
      </c>
      <c r="Q26" s="71">
        <v>0</v>
      </c>
      <c r="R26" s="52">
        <f t="shared" si="53"/>
        <v>0</v>
      </c>
      <c r="S26" s="52">
        <f t="shared" si="54"/>
        <v>0</v>
      </c>
      <c r="T26" s="53"/>
      <c r="U26" s="52">
        <v>7</v>
      </c>
      <c r="V26" s="52">
        <v>6</v>
      </c>
      <c r="W26" s="52">
        <v>97</v>
      </c>
      <c r="X26" s="52">
        <v>88</v>
      </c>
      <c r="Y26" s="53"/>
      <c r="Z26" s="53">
        <f t="shared" si="39"/>
        <v>97</v>
      </c>
      <c r="AB26" s="203" t="str">
        <f t="shared" si="55"/>
        <v>-</v>
      </c>
      <c r="AC26" s="203" t="str">
        <f t="shared" si="56"/>
        <v>-</v>
      </c>
      <c r="AD26" s="203">
        <f t="shared" si="57"/>
        <v>0.90721649484536082</v>
      </c>
    </row>
    <row r="27" spans="1:30" x14ac:dyDescent="0.2">
      <c r="A27" s="40">
        <v>3</v>
      </c>
      <c r="C27" s="43">
        <f t="shared" ref="C27:C34" si="62">C26+7</f>
        <v>46037</v>
      </c>
      <c r="D27" s="193"/>
      <c r="E27" s="87">
        <f t="shared" ref="E27:E28" si="63">C27+6</f>
        <v>46043</v>
      </c>
      <c r="G27" s="71">
        <v>0</v>
      </c>
      <c r="H27" s="71">
        <v>0</v>
      </c>
      <c r="I27" s="71">
        <v>0</v>
      </c>
      <c r="J27" s="71">
        <v>0</v>
      </c>
      <c r="K27" s="52">
        <f t="shared" si="51"/>
        <v>0</v>
      </c>
      <c r="L27" s="52">
        <f t="shared" si="52"/>
        <v>0</v>
      </c>
      <c r="M27" s="198"/>
      <c r="N27" s="71">
        <v>0</v>
      </c>
      <c r="O27" s="71">
        <v>0</v>
      </c>
      <c r="P27" s="71">
        <v>0</v>
      </c>
      <c r="Q27" s="71">
        <v>0</v>
      </c>
      <c r="R27" s="52">
        <f t="shared" si="53"/>
        <v>0</v>
      </c>
      <c r="S27" s="52">
        <f t="shared" si="54"/>
        <v>0</v>
      </c>
      <c r="T27" s="53"/>
      <c r="U27" s="52">
        <v>32</v>
      </c>
      <c r="V27" s="52">
        <v>32</v>
      </c>
      <c r="W27" s="52">
        <v>173</v>
      </c>
      <c r="X27" s="52">
        <v>164</v>
      </c>
      <c r="Y27" s="53"/>
      <c r="Z27" s="53">
        <f t="shared" si="39"/>
        <v>173</v>
      </c>
      <c r="AB27" s="203" t="str">
        <f t="shared" si="55"/>
        <v>-</v>
      </c>
      <c r="AC27" s="203" t="str">
        <f t="shared" si="56"/>
        <v>-</v>
      </c>
      <c r="AD27" s="203">
        <f t="shared" si="57"/>
        <v>0.94797687861271673</v>
      </c>
    </row>
    <row r="28" spans="1:30" x14ac:dyDescent="0.2">
      <c r="A28" s="40">
        <v>4</v>
      </c>
      <c r="C28" s="43">
        <f t="shared" si="62"/>
        <v>46044</v>
      </c>
      <c r="D28" s="193"/>
      <c r="E28" s="87">
        <f t="shared" si="63"/>
        <v>46050</v>
      </c>
      <c r="G28" s="71">
        <v>0</v>
      </c>
      <c r="H28" s="71">
        <v>0</v>
      </c>
      <c r="I28" s="71">
        <v>0</v>
      </c>
      <c r="J28" s="71">
        <v>0</v>
      </c>
      <c r="K28" s="52">
        <f t="shared" si="51"/>
        <v>0</v>
      </c>
      <c r="L28" s="52">
        <f t="shared" si="52"/>
        <v>0</v>
      </c>
      <c r="M28" s="198"/>
      <c r="N28" s="71">
        <v>0</v>
      </c>
      <c r="O28" s="71">
        <v>0</v>
      </c>
      <c r="P28" s="71">
        <v>0</v>
      </c>
      <c r="Q28" s="71">
        <v>0</v>
      </c>
      <c r="R28" s="52">
        <f t="shared" si="53"/>
        <v>0</v>
      </c>
      <c r="S28" s="52">
        <f t="shared" si="54"/>
        <v>0</v>
      </c>
      <c r="T28" s="53"/>
      <c r="U28" s="52">
        <v>19</v>
      </c>
      <c r="V28" s="52">
        <v>19</v>
      </c>
      <c r="W28" s="52">
        <v>80</v>
      </c>
      <c r="X28" s="52">
        <v>75</v>
      </c>
      <c r="Y28" s="53"/>
      <c r="Z28" s="53">
        <f t="shared" si="39"/>
        <v>80</v>
      </c>
      <c r="AB28" s="203" t="str">
        <f t="shared" si="55"/>
        <v>-</v>
      </c>
      <c r="AC28" s="203" t="str">
        <f t="shared" si="56"/>
        <v>-</v>
      </c>
      <c r="AD28" s="203">
        <f t="shared" si="57"/>
        <v>0.9375</v>
      </c>
    </row>
    <row r="29" spans="1:30" x14ac:dyDescent="0.2">
      <c r="A29" s="40">
        <v>5</v>
      </c>
      <c r="C29" s="43">
        <f t="shared" si="62"/>
        <v>46051</v>
      </c>
      <c r="D29" s="193"/>
      <c r="E29" s="87">
        <f t="shared" ref="E29:E30" si="64">C29+6</f>
        <v>46057</v>
      </c>
      <c r="G29" s="71">
        <v>0</v>
      </c>
      <c r="H29" s="71">
        <v>0</v>
      </c>
      <c r="I29" s="71">
        <v>0</v>
      </c>
      <c r="J29" s="71">
        <v>0</v>
      </c>
      <c r="K29" s="52">
        <f t="shared" si="51"/>
        <v>0</v>
      </c>
      <c r="L29" s="52">
        <f t="shared" si="52"/>
        <v>0</v>
      </c>
      <c r="M29" s="198"/>
      <c r="N29" s="71">
        <v>0</v>
      </c>
      <c r="O29" s="71">
        <v>0</v>
      </c>
      <c r="P29" s="71">
        <v>0</v>
      </c>
      <c r="Q29" s="71">
        <v>0</v>
      </c>
      <c r="R29" s="52">
        <f t="shared" si="53"/>
        <v>0</v>
      </c>
      <c r="S29" s="52">
        <f t="shared" si="54"/>
        <v>0</v>
      </c>
      <c r="T29" s="53"/>
      <c r="U29" s="52">
        <v>4</v>
      </c>
      <c r="V29" s="52">
        <v>4</v>
      </c>
      <c r="W29" s="52">
        <v>89</v>
      </c>
      <c r="X29" s="52">
        <v>89</v>
      </c>
      <c r="Y29" s="53"/>
      <c r="Z29" s="53">
        <f t="shared" si="39"/>
        <v>89</v>
      </c>
      <c r="AB29" s="203" t="str">
        <f t="shared" si="55"/>
        <v>-</v>
      </c>
      <c r="AC29" s="203" t="str">
        <f t="shared" si="56"/>
        <v>-</v>
      </c>
      <c r="AD29" s="203">
        <f t="shared" si="57"/>
        <v>1</v>
      </c>
    </row>
    <row r="30" spans="1:30" x14ac:dyDescent="0.2">
      <c r="A30" s="40">
        <v>6</v>
      </c>
      <c r="C30" s="43">
        <f t="shared" si="62"/>
        <v>46058</v>
      </c>
      <c r="D30" s="193"/>
      <c r="E30" s="87">
        <f t="shared" si="64"/>
        <v>46064</v>
      </c>
      <c r="G30" s="71">
        <v>0</v>
      </c>
      <c r="H30" s="71">
        <v>0</v>
      </c>
      <c r="I30" s="71">
        <v>0</v>
      </c>
      <c r="J30" s="71">
        <v>0</v>
      </c>
      <c r="K30" s="52">
        <f t="shared" si="51"/>
        <v>0</v>
      </c>
      <c r="L30" s="52">
        <f t="shared" si="52"/>
        <v>0</v>
      </c>
      <c r="M30" s="198"/>
      <c r="N30" s="71">
        <v>0</v>
      </c>
      <c r="O30" s="71">
        <v>0</v>
      </c>
      <c r="P30" s="71">
        <v>0</v>
      </c>
      <c r="Q30" s="71">
        <v>0</v>
      </c>
      <c r="R30" s="52">
        <f t="shared" si="53"/>
        <v>0</v>
      </c>
      <c r="S30" s="52">
        <f t="shared" si="54"/>
        <v>0</v>
      </c>
      <c r="T30" s="53"/>
      <c r="U30" s="52">
        <v>15</v>
      </c>
      <c r="V30" s="52">
        <v>15</v>
      </c>
      <c r="W30" s="52">
        <v>279</v>
      </c>
      <c r="X30" s="52">
        <v>278</v>
      </c>
      <c r="Y30" s="53"/>
      <c r="Z30" s="53">
        <f t="shared" si="39"/>
        <v>279</v>
      </c>
      <c r="AB30" s="203" t="str">
        <f t="shared" si="55"/>
        <v>-</v>
      </c>
      <c r="AC30" s="203" t="str">
        <f t="shared" si="56"/>
        <v>-</v>
      </c>
      <c r="AD30" s="203">
        <f t="shared" si="57"/>
        <v>0.99641577060931896</v>
      </c>
    </row>
    <row r="31" spans="1:30" x14ac:dyDescent="0.2">
      <c r="A31" s="40">
        <v>7</v>
      </c>
      <c r="C31" s="43">
        <f t="shared" si="62"/>
        <v>46065</v>
      </c>
      <c r="D31" s="193"/>
      <c r="E31" s="87">
        <f t="shared" ref="E31:E32" si="65">C31+6</f>
        <v>46071</v>
      </c>
      <c r="G31" s="71">
        <v>0</v>
      </c>
      <c r="H31" s="71">
        <v>0</v>
      </c>
      <c r="I31" s="71">
        <v>0</v>
      </c>
      <c r="J31" s="71">
        <v>0</v>
      </c>
      <c r="K31" s="52">
        <f t="shared" si="51"/>
        <v>0</v>
      </c>
      <c r="L31" s="52">
        <f t="shared" si="52"/>
        <v>0</v>
      </c>
      <c r="M31" s="198"/>
      <c r="N31" s="71">
        <v>0</v>
      </c>
      <c r="O31" s="71">
        <v>0</v>
      </c>
      <c r="P31" s="71">
        <v>0</v>
      </c>
      <c r="Q31" s="71">
        <v>0</v>
      </c>
      <c r="R31" s="52">
        <f t="shared" si="53"/>
        <v>0</v>
      </c>
      <c r="S31" s="52">
        <f t="shared" si="54"/>
        <v>0</v>
      </c>
      <c r="T31" s="53"/>
      <c r="U31" s="52">
        <v>2</v>
      </c>
      <c r="V31" s="52">
        <v>2</v>
      </c>
      <c r="W31" s="52">
        <v>69</v>
      </c>
      <c r="X31" s="52">
        <v>69</v>
      </c>
      <c r="Y31" s="53"/>
      <c r="Z31" s="53">
        <f t="shared" si="39"/>
        <v>69</v>
      </c>
      <c r="AB31" s="203" t="str">
        <f t="shared" si="55"/>
        <v>-</v>
      </c>
      <c r="AC31" s="203" t="str">
        <f t="shared" si="56"/>
        <v>-</v>
      </c>
      <c r="AD31" s="203">
        <f t="shared" si="57"/>
        <v>1</v>
      </c>
    </row>
    <row r="32" spans="1:30" x14ac:dyDescent="0.2">
      <c r="A32" s="40">
        <v>8</v>
      </c>
      <c r="C32" s="43">
        <f t="shared" si="62"/>
        <v>46072</v>
      </c>
      <c r="D32" s="193"/>
      <c r="E32" s="87">
        <f t="shared" si="65"/>
        <v>46078</v>
      </c>
      <c r="G32" s="71">
        <v>0</v>
      </c>
      <c r="H32" s="71">
        <v>0</v>
      </c>
      <c r="I32" s="71">
        <v>0</v>
      </c>
      <c r="J32" s="71">
        <v>0</v>
      </c>
      <c r="K32" s="52">
        <f t="shared" si="51"/>
        <v>0</v>
      </c>
      <c r="L32" s="52">
        <f t="shared" si="52"/>
        <v>0</v>
      </c>
      <c r="M32" s="198"/>
      <c r="N32" s="71">
        <v>0</v>
      </c>
      <c r="O32" s="71">
        <v>0</v>
      </c>
      <c r="P32" s="71">
        <v>0</v>
      </c>
      <c r="Q32" s="71">
        <v>0</v>
      </c>
      <c r="R32" s="52">
        <f t="shared" si="53"/>
        <v>0</v>
      </c>
      <c r="S32" s="52">
        <f t="shared" si="54"/>
        <v>0</v>
      </c>
      <c r="T32" s="53"/>
      <c r="U32" s="52">
        <v>0</v>
      </c>
      <c r="V32" s="52">
        <v>0</v>
      </c>
      <c r="W32" s="52">
        <v>85</v>
      </c>
      <c r="X32" s="52">
        <v>85</v>
      </c>
      <c r="Y32" s="53"/>
      <c r="Z32" s="53">
        <f t="shared" si="39"/>
        <v>85</v>
      </c>
      <c r="AB32" s="203" t="str">
        <f t="shared" si="55"/>
        <v>-</v>
      </c>
      <c r="AC32" s="203" t="str">
        <f t="shared" si="56"/>
        <v>-</v>
      </c>
      <c r="AD32" s="203">
        <f t="shared" si="57"/>
        <v>1</v>
      </c>
    </row>
    <row r="33" spans="1:30" x14ac:dyDescent="0.2">
      <c r="A33" s="40">
        <v>9</v>
      </c>
      <c r="C33" s="43">
        <f t="shared" si="62"/>
        <v>46079</v>
      </c>
      <c r="D33" s="193"/>
      <c r="E33" s="87">
        <f t="shared" ref="E33:E34" si="66">C33+6</f>
        <v>46085</v>
      </c>
      <c r="G33" s="71">
        <v>0</v>
      </c>
      <c r="H33" s="71">
        <v>0</v>
      </c>
      <c r="I33" s="71">
        <v>0</v>
      </c>
      <c r="J33" s="71">
        <v>0</v>
      </c>
      <c r="K33" s="52">
        <f t="shared" si="51"/>
        <v>0</v>
      </c>
      <c r="L33" s="52">
        <f t="shared" si="52"/>
        <v>0</v>
      </c>
      <c r="M33" s="198"/>
      <c r="N33" s="71">
        <v>0</v>
      </c>
      <c r="O33" s="71">
        <v>0</v>
      </c>
      <c r="P33" s="71">
        <v>0</v>
      </c>
      <c r="Q33" s="71">
        <v>0</v>
      </c>
      <c r="R33" s="52">
        <f t="shared" si="53"/>
        <v>0</v>
      </c>
      <c r="S33" s="52">
        <f t="shared" si="54"/>
        <v>0</v>
      </c>
      <c r="T33" s="53"/>
      <c r="U33" s="52">
        <v>0</v>
      </c>
      <c r="V33" s="52">
        <v>0</v>
      </c>
      <c r="W33" s="52">
        <v>44</v>
      </c>
      <c r="X33" s="52">
        <v>44</v>
      </c>
      <c r="Y33" s="53"/>
      <c r="Z33" s="53">
        <f t="shared" si="39"/>
        <v>44</v>
      </c>
      <c r="AB33" s="203" t="str">
        <f t="shared" si="55"/>
        <v>-</v>
      </c>
      <c r="AC33" s="203" t="str">
        <f t="shared" si="56"/>
        <v>-</v>
      </c>
      <c r="AD33" s="203">
        <f t="shared" si="57"/>
        <v>1</v>
      </c>
    </row>
    <row r="34" spans="1:30" x14ac:dyDescent="0.2">
      <c r="A34" s="40">
        <v>10</v>
      </c>
      <c r="C34" s="43">
        <f t="shared" si="62"/>
        <v>46086</v>
      </c>
      <c r="D34" s="193"/>
      <c r="E34" s="87">
        <f t="shared" si="66"/>
        <v>46092</v>
      </c>
      <c r="G34" s="71">
        <v>0</v>
      </c>
      <c r="H34" s="71">
        <v>0</v>
      </c>
      <c r="I34" s="71">
        <v>0</v>
      </c>
      <c r="J34" s="71">
        <v>0</v>
      </c>
      <c r="K34" s="52">
        <f t="shared" si="51"/>
        <v>0</v>
      </c>
      <c r="L34" s="52">
        <f t="shared" si="52"/>
        <v>0</v>
      </c>
      <c r="M34" s="198"/>
      <c r="N34" s="71">
        <v>0</v>
      </c>
      <c r="O34" s="71">
        <v>0</v>
      </c>
      <c r="P34" s="71">
        <v>0</v>
      </c>
      <c r="Q34" s="71">
        <v>0</v>
      </c>
      <c r="R34" s="52">
        <f t="shared" ref="R34" si="67">N34+P34</f>
        <v>0</v>
      </c>
      <c r="S34" s="52">
        <f t="shared" ref="S34" si="68">O34+Q34</f>
        <v>0</v>
      </c>
      <c r="T34" s="53"/>
      <c r="U34" s="52">
        <v>7</v>
      </c>
      <c r="V34" s="52">
        <v>7</v>
      </c>
      <c r="W34" s="52">
        <v>61</v>
      </c>
      <c r="X34" s="52">
        <v>61</v>
      </c>
      <c r="Y34" s="53"/>
      <c r="Z34" s="53">
        <f t="shared" si="39"/>
        <v>61</v>
      </c>
      <c r="AB34" s="203" t="str">
        <f t="shared" si="55"/>
        <v>-</v>
      </c>
      <c r="AC34" s="203" t="str">
        <f t="shared" si="56"/>
        <v>-</v>
      </c>
      <c r="AD34" s="203">
        <f t="shared" si="57"/>
        <v>1</v>
      </c>
    </row>
    <row r="35" spans="1:30" x14ac:dyDescent="0.2">
      <c r="A35" s="40"/>
      <c r="C35" s="43"/>
      <c r="D35" s="193"/>
      <c r="E35" s="87"/>
      <c r="G35" s="52"/>
      <c r="H35" s="52"/>
      <c r="I35" s="52"/>
      <c r="J35" s="52"/>
      <c r="K35" s="52"/>
      <c r="L35" s="52"/>
      <c r="M35" s="198"/>
      <c r="N35" s="52"/>
      <c r="O35" s="52"/>
      <c r="P35" s="52"/>
      <c r="Q35" s="52"/>
      <c r="R35" s="52"/>
      <c r="S35" s="52"/>
      <c r="T35" s="53"/>
      <c r="U35" s="53"/>
      <c r="V35" s="53"/>
      <c r="W35" s="52"/>
      <c r="X35" s="52"/>
      <c r="Y35" s="53"/>
      <c r="Z35" s="53"/>
      <c r="AB35" s="203"/>
      <c r="AC35" s="203"/>
      <c r="AD35" s="203"/>
    </row>
    <row r="36" spans="1:30" x14ac:dyDescent="0.2">
      <c r="A36" s="83" t="s">
        <v>145</v>
      </c>
      <c r="B36" s="83"/>
      <c r="C36" s="83"/>
      <c r="D36" s="83"/>
      <c r="E36" s="83"/>
      <c r="F36" s="83"/>
      <c r="G36" s="221">
        <f>SUM(G15:G35)</f>
        <v>1167</v>
      </c>
      <c r="H36" s="221">
        <f t="shared" ref="H36:K36" si="69">SUM(H15:H35)</f>
        <v>268</v>
      </c>
      <c r="I36" s="221">
        <f>SUM(I15:I35)</f>
        <v>6500</v>
      </c>
      <c r="J36" s="221">
        <f t="shared" si="69"/>
        <v>1578</v>
      </c>
      <c r="K36" s="221">
        <f t="shared" si="69"/>
        <v>7667</v>
      </c>
      <c r="L36" s="221">
        <f>SUM(L15:L35)</f>
        <v>1846</v>
      </c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208"/>
      <c r="AD36" s="208"/>
    </row>
    <row r="37" spans="1:30" x14ac:dyDescent="0.2">
      <c r="A37" s="254" t="s">
        <v>137</v>
      </c>
      <c r="B37" s="254"/>
      <c r="C37" s="254"/>
      <c r="D37" s="254"/>
      <c r="E37" s="254"/>
      <c r="F37" s="254"/>
      <c r="G37" s="200">
        <f>G13+G36</f>
        <v>4205</v>
      </c>
      <c r="H37" s="200">
        <f t="shared" ref="H37:J37" si="70">H13+H36</f>
        <v>962</v>
      </c>
      <c r="I37" s="200">
        <f t="shared" si="70"/>
        <v>10726</v>
      </c>
      <c r="J37" s="200">
        <f t="shared" si="70"/>
        <v>2579</v>
      </c>
      <c r="K37" s="200">
        <f>K13+K36</f>
        <v>14931</v>
      </c>
      <c r="L37" s="200">
        <f>L13+L36</f>
        <v>3541</v>
      </c>
      <c r="M37" s="200"/>
      <c r="N37" s="200">
        <f>SUM(N5:N35)</f>
        <v>2</v>
      </c>
      <c r="O37" s="200">
        <f t="shared" ref="O37:V37" si="71">SUM(O5:O35)</f>
        <v>2</v>
      </c>
      <c r="P37" s="200">
        <f t="shared" si="71"/>
        <v>55</v>
      </c>
      <c r="Q37" s="200">
        <f t="shared" si="71"/>
        <v>43</v>
      </c>
      <c r="R37" s="200">
        <f t="shared" si="71"/>
        <v>57</v>
      </c>
      <c r="S37" s="200">
        <f t="shared" si="71"/>
        <v>45</v>
      </c>
      <c r="T37" s="200"/>
      <c r="U37" s="200">
        <f t="shared" si="71"/>
        <v>117</v>
      </c>
      <c r="V37" s="200">
        <f t="shared" si="71"/>
        <v>113</v>
      </c>
      <c r="W37" s="200">
        <f>SUM(W5:W35)</f>
        <v>2048</v>
      </c>
      <c r="X37" s="200">
        <f>SUM(X5:X35)</f>
        <v>1968</v>
      </c>
      <c r="Y37" s="200"/>
      <c r="Z37" s="200">
        <f>SUM(Z5:Z36)</f>
        <v>17036</v>
      </c>
      <c r="AA37" s="200"/>
      <c r="AB37" s="256">
        <f>L37/K37</f>
        <v>0.23715759158797134</v>
      </c>
      <c r="AC37" s="223">
        <f>IFERROR(S37/R37,"-")</f>
        <v>0.78947368421052633</v>
      </c>
      <c r="AD37" s="223">
        <f>X37/W37</f>
        <v>0.9609375</v>
      </c>
    </row>
    <row r="38" spans="1:30" x14ac:dyDescent="0.2">
      <c r="A38" s="239"/>
      <c r="B38" s="239"/>
      <c r="C38" s="239"/>
      <c r="D38" s="239"/>
      <c r="E38" s="239"/>
      <c r="F38" s="239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55"/>
      <c r="AD38" s="255"/>
    </row>
    <row r="39" spans="1:30" ht="14.25" x14ac:dyDescent="0.2">
      <c r="A39" s="83" t="s">
        <v>157</v>
      </c>
      <c r="B39" s="83"/>
      <c r="C39" s="83"/>
      <c r="D39" s="83"/>
      <c r="E39" s="83"/>
      <c r="F39" s="83"/>
      <c r="G39" s="52">
        <v>1378</v>
      </c>
      <c r="H39" s="52">
        <v>315</v>
      </c>
      <c r="I39" s="52">
        <v>5117</v>
      </c>
      <c r="J39" s="52">
        <v>1092</v>
      </c>
      <c r="K39" s="52">
        <v>6495</v>
      </c>
      <c r="L39" s="52">
        <v>1407</v>
      </c>
      <c r="M39" s="198"/>
      <c r="N39" s="52">
        <v>10</v>
      </c>
      <c r="O39" s="52">
        <v>9</v>
      </c>
      <c r="P39" s="52">
        <v>1249</v>
      </c>
      <c r="Q39" s="52">
        <v>1090</v>
      </c>
      <c r="R39" s="52">
        <v>1259</v>
      </c>
      <c r="S39" s="52">
        <v>1099</v>
      </c>
      <c r="T39" s="52"/>
      <c r="U39" s="52">
        <v>164</v>
      </c>
      <c r="V39" s="52">
        <v>163</v>
      </c>
      <c r="W39" s="52">
        <v>1877</v>
      </c>
      <c r="X39" s="52">
        <v>1842</v>
      </c>
      <c r="Y39" s="52"/>
      <c r="Z39" s="52">
        <f>W39+R39+K39</f>
        <v>9631</v>
      </c>
      <c r="AB39" s="208">
        <f>L39/K39</f>
        <v>0.21662817551963048</v>
      </c>
      <c r="AC39" s="208">
        <f>S39/R39</f>
        <v>0.87291501191421761</v>
      </c>
      <c r="AD39" s="208">
        <f>X39/W39</f>
        <v>0.98135322322855623</v>
      </c>
    </row>
    <row r="40" spans="1:30" s="33" customFormat="1" ht="14.25" customHeight="1" x14ac:dyDescent="0.2">
      <c r="A40" s="83" t="s">
        <v>158</v>
      </c>
      <c r="B40" s="83"/>
      <c r="C40" s="83"/>
      <c r="D40" s="83"/>
      <c r="G40" s="52">
        <v>1942</v>
      </c>
      <c r="H40" s="52">
        <v>400</v>
      </c>
      <c r="I40" s="52">
        <v>13595</v>
      </c>
      <c r="J40" s="52">
        <v>2421</v>
      </c>
      <c r="K40" s="52">
        <f>G40+I40</f>
        <v>15537</v>
      </c>
      <c r="L40" s="52">
        <f>H40+J40</f>
        <v>2821</v>
      </c>
      <c r="M40" s="198"/>
      <c r="N40" s="52">
        <v>123</v>
      </c>
      <c r="O40" s="52">
        <v>69</v>
      </c>
      <c r="P40" s="52">
        <v>2425</v>
      </c>
      <c r="Q40" s="52">
        <v>2385</v>
      </c>
      <c r="R40" s="52">
        <f>N40+P40</f>
        <v>2548</v>
      </c>
      <c r="S40" s="52">
        <f>O40+Q40</f>
        <v>2454</v>
      </c>
      <c r="T40" s="198"/>
      <c r="U40" s="194">
        <v>80</v>
      </c>
      <c r="V40" s="194">
        <v>79</v>
      </c>
      <c r="W40" s="52">
        <v>1497</v>
      </c>
      <c r="X40" s="52">
        <v>1457</v>
      </c>
      <c r="Y40" s="52"/>
      <c r="Z40" s="52">
        <f>W40+R40+K40</f>
        <v>19582</v>
      </c>
      <c r="AA40"/>
      <c r="AB40" s="208">
        <f>L40/K40</f>
        <v>0.18156658299543027</v>
      </c>
      <c r="AC40" s="208">
        <f>S40/R40</f>
        <v>0.96310832025117743</v>
      </c>
      <c r="AD40" s="208">
        <f>X40/W40</f>
        <v>0.97327989311957253</v>
      </c>
    </row>
    <row r="41" spans="1:30" ht="14.25" x14ac:dyDescent="0.2">
      <c r="A41" s="83" t="s">
        <v>159</v>
      </c>
      <c r="B41" s="83"/>
      <c r="C41" s="83"/>
      <c r="D41" s="83"/>
      <c r="E41"/>
      <c r="G41" s="52">
        <v>1324</v>
      </c>
      <c r="H41" s="52">
        <v>186</v>
      </c>
      <c r="I41" s="52">
        <v>6686</v>
      </c>
      <c r="J41" s="52">
        <v>501</v>
      </c>
      <c r="K41" s="52">
        <v>8010</v>
      </c>
      <c r="L41" s="52">
        <v>687</v>
      </c>
      <c r="M41" s="198"/>
      <c r="N41" s="52">
        <v>263</v>
      </c>
      <c r="O41" s="52">
        <v>263</v>
      </c>
      <c r="P41" s="52">
        <v>3241</v>
      </c>
      <c r="Q41" s="52">
        <v>3124</v>
      </c>
      <c r="R41" s="52">
        <v>3504</v>
      </c>
      <c r="S41" s="52">
        <v>3387</v>
      </c>
      <c r="T41" s="198"/>
      <c r="U41" s="194">
        <v>29</v>
      </c>
      <c r="V41" s="194">
        <v>29</v>
      </c>
      <c r="W41" s="52">
        <v>1047</v>
      </c>
      <c r="X41" s="52">
        <v>992</v>
      </c>
      <c r="Y41" s="52"/>
      <c r="Z41" s="52">
        <f>W41+R41+K41</f>
        <v>12561</v>
      </c>
      <c r="AB41" s="208">
        <v>8.576779026217228E-2</v>
      </c>
      <c r="AC41" s="208">
        <v>0.96660958904109584</v>
      </c>
      <c r="AD41" s="208">
        <v>0.94746895893027694</v>
      </c>
    </row>
    <row r="42" spans="1:30" ht="14.25" x14ac:dyDescent="0.2">
      <c r="A42" s="83" t="s">
        <v>160</v>
      </c>
      <c r="B42" s="83"/>
      <c r="C42" s="83"/>
      <c r="D42" s="83"/>
      <c r="E42" s="83"/>
      <c r="F42" s="83"/>
      <c r="G42" s="52">
        <v>417</v>
      </c>
      <c r="H42" s="52">
        <v>0</v>
      </c>
      <c r="I42" s="52">
        <v>7287</v>
      </c>
      <c r="J42" s="52">
        <v>1630</v>
      </c>
      <c r="K42" s="52">
        <v>7973</v>
      </c>
      <c r="L42" s="52">
        <v>1630</v>
      </c>
      <c r="M42" s="198"/>
      <c r="N42" s="52">
        <v>148</v>
      </c>
      <c r="O42" s="52">
        <v>147</v>
      </c>
      <c r="P42" s="52">
        <v>2234</v>
      </c>
      <c r="Q42" s="52">
        <v>2168</v>
      </c>
      <c r="R42" s="52">
        <f>N42+P42</f>
        <v>2382</v>
      </c>
      <c r="S42" s="52">
        <f>O42+Q42</f>
        <v>2315</v>
      </c>
      <c r="T42" s="198"/>
      <c r="U42" s="194">
        <v>11</v>
      </c>
      <c r="V42" s="194">
        <v>11</v>
      </c>
      <c r="W42" s="52">
        <v>1433</v>
      </c>
      <c r="X42" s="52">
        <v>1362</v>
      </c>
      <c r="Y42" s="53"/>
      <c r="Z42" s="52">
        <f>W42+R42+K42</f>
        <v>11788</v>
      </c>
      <c r="AB42" s="208">
        <v>0.20443998494920357</v>
      </c>
      <c r="AC42" s="208">
        <v>0.97188417960553919</v>
      </c>
      <c r="AD42" s="208">
        <v>0.95045359385903694</v>
      </c>
    </row>
    <row r="43" spans="1:30" ht="14.25" x14ac:dyDescent="0.2">
      <c r="A43" s="83" t="s">
        <v>161</v>
      </c>
      <c r="B43" s="83"/>
      <c r="C43" s="83"/>
      <c r="D43" s="83"/>
      <c r="E43" s="83"/>
      <c r="F43" s="83"/>
      <c r="G43" s="52">
        <v>3555</v>
      </c>
      <c r="H43" s="52">
        <v>751</v>
      </c>
      <c r="I43" s="52">
        <v>4808</v>
      </c>
      <c r="J43" s="52">
        <v>1068</v>
      </c>
      <c r="K43" s="52">
        <v>8363</v>
      </c>
      <c r="L43" s="52">
        <v>1819</v>
      </c>
      <c r="M43" s="198"/>
      <c r="N43" s="52">
        <v>1375</v>
      </c>
      <c r="O43" s="52">
        <v>1357</v>
      </c>
      <c r="P43" s="52">
        <v>959</v>
      </c>
      <c r="Q43" s="52">
        <v>922</v>
      </c>
      <c r="R43" s="52">
        <v>2333</v>
      </c>
      <c r="S43" s="52">
        <v>2279</v>
      </c>
      <c r="T43" s="198"/>
      <c r="U43" s="194">
        <v>42</v>
      </c>
      <c r="V43" s="194">
        <v>41</v>
      </c>
      <c r="W43" s="52">
        <v>590</v>
      </c>
      <c r="X43" s="52">
        <v>558</v>
      </c>
      <c r="Y43" s="53"/>
      <c r="Z43" s="52">
        <f t="shared" ref="Z43:Z48" si="72">W43+R43+K43</f>
        <v>11286</v>
      </c>
      <c r="AB43" s="208">
        <f t="shared" ref="AB43:AB48" si="73">L43/K43</f>
        <v>0.21750567977998325</v>
      </c>
      <c r="AC43" s="208">
        <f t="shared" ref="AC43:AC48" si="74">S43/R43</f>
        <v>0.97685383626232314</v>
      </c>
      <c r="AD43" s="208">
        <f t="shared" ref="AD43:AD48" si="75">X43/W43</f>
        <v>0.94576271186440675</v>
      </c>
    </row>
    <row r="44" spans="1:30" ht="14.25" x14ac:dyDescent="0.2">
      <c r="A44" s="83" t="s">
        <v>162</v>
      </c>
      <c r="B44" s="83"/>
      <c r="C44" s="83"/>
      <c r="D44" s="83"/>
      <c r="E44" s="83"/>
      <c r="F44" s="83"/>
      <c r="G44" s="52">
        <v>297</v>
      </c>
      <c r="H44" s="52">
        <v>64</v>
      </c>
      <c r="I44" s="52">
        <v>5767</v>
      </c>
      <c r="J44" s="52">
        <v>1288</v>
      </c>
      <c r="K44" s="52">
        <f>G44+I44</f>
        <v>6064</v>
      </c>
      <c r="L44" s="52">
        <f>H44+J44</f>
        <v>1352</v>
      </c>
      <c r="M44" s="198"/>
      <c r="N44" s="52">
        <v>6</v>
      </c>
      <c r="O44" s="52">
        <v>5</v>
      </c>
      <c r="P44" s="52">
        <v>643</v>
      </c>
      <c r="Q44" s="52">
        <v>602</v>
      </c>
      <c r="R44" s="52">
        <f>N44+P44</f>
        <v>649</v>
      </c>
      <c r="S44" s="52">
        <f>O44+Q44</f>
        <v>607</v>
      </c>
      <c r="T44" s="198"/>
      <c r="U44" s="194">
        <v>10</v>
      </c>
      <c r="V44" s="194">
        <v>9</v>
      </c>
      <c r="W44" s="52">
        <v>386</v>
      </c>
      <c r="X44" s="52">
        <v>370</v>
      </c>
      <c r="Y44" s="53"/>
      <c r="Z44" s="52">
        <f t="shared" si="72"/>
        <v>7099</v>
      </c>
      <c r="AB44" s="208">
        <f t="shared" si="73"/>
        <v>0.22295514511873352</v>
      </c>
      <c r="AC44" s="208">
        <f t="shared" si="74"/>
        <v>0.93528505392912176</v>
      </c>
      <c r="AD44" s="208">
        <f t="shared" si="75"/>
        <v>0.95854922279792742</v>
      </c>
    </row>
    <row r="45" spans="1:30" ht="14.25" x14ac:dyDescent="0.2">
      <c r="A45" s="83" t="s">
        <v>163</v>
      </c>
      <c r="B45" s="83"/>
      <c r="C45" s="83"/>
      <c r="D45" s="83"/>
      <c r="E45" s="83"/>
      <c r="F45" s="83"/>
      <c r="G45" s="52">
        <v>924</v>
      </c>
      <c r="H45" s="52">
        <v>185</v>
      </c>
      <c r="I45" s="52">
        <v>9297</v>
      </c>
      <c r="J45" s="52">
        <v>2075</v>
      </c>
      <c r="K45" s="52">
        <f>G45+I45</f>
        <v>10221</v>
      </c>
      <c r="L45" s="52">
        <f>H45+J45</f>
        <v>2260</v>
      </c>
      <c r="M45" s="198"/>
      <c r="N45" s="52">
        <v>186</v>
      </c>
      <c r="O45" s="52">
        <v>185</v>
      </c>
      <c r="P45" s="52">
        <v>556</v>
      </c>
      <c r="Q45" s="52">
        <v>515</v>
      </c>
      <c r="R45" s="52">
        <f>N45+P45</f>
        <v>742</v>
      </c>
      <c r="S45" s="52">
        <f>O45+Q45</f>
        <v>700</v>
      </c>
      <c r="T45" s="198"/>
      <c r="U45" s="194">
        <v>14</v>
      </c>
      <c r="V45" s="194">
        <v>13</v>
      </c>
      <c r="W45" s="52">
        <v>1869</v>
      </c>
      <c r="X45" s="52">
        <v>1859</v>
      </c>
      <c r="Y45" s="53"/>
      <c r="Z45" s="52">
        <f t="shared" si="72"/>
        <v>12832</v>
      </c>
      <c r="AB45" s="208">
        <f t="shared" si="73"/>
        <v>0.22111339399276</v>
      </c>
      <c r="AC45" s="208">
        <f t="shared" si="74"/>
        <v>0.94339622641509435</v>
      </c>
      <c r="AD45" s="208">
        <f t="shared" si="75"/>
        <v>0.99464954521134297</v>
      </c>
    </row>
    <row r="46" spans="1:30" ht="14.25" x14ac:dyDescent="0.2">
      <c r="A46" s="24" t="s">
        <v>164</v>
      </c>
      <c r="B46" s="83"/>
      <c r="C46" s="83"/>
      <c r="D46" s="83"/>
      <c r="E46" s="83"/>
      <c r="F46" s="83"/>
      <c r="G46" s="52">
        <v>2197</v>
      </c>
      <c r="H46" s="52">
        <v>478</v>
      </c>
      <c r="I46" s="52">
        <v>4814</v>
      </c>
      <c r="J46" s="52">
        <v>1074</v>
      </c>
      <c r="K46" s="52">
        <v>7011</v>
      </c>
      <c r="L46" s="52">
        <v>1552</v>
      </c>
      <c r="M46" s="198"/>
      <c r="N46" s="52">
        <v>170</v>
      </c>
      <c r="O46" s="52">
        <v>168</v>
      </c>
      <c r="P46" s="52">
        <v>252</v>
      </c>
      <c r="Q46" s="52">
        <v>229</v>
      </c>
      <c r="R46" s="52">
        <v>422</v>
      </c>
      <c r="S46" s="52">
        <v>397</v>
      </c>
      <c r="T46" s="198"/>
      <c r="U46" s="194">
        <v>38</v>
      </c>
      <c r="V46" s="194">
        <v>28</v>
      </c>
      <c r="W46" s="52">
        <v>2049</v>
      </c>
      <c r="X46" s="52">
        <v>1996</v>
      </c>
      <c r="Y46" s="53"/>
      <c r="Z46" s="52">
        <f t="shared" si="72"/>
        <v>9482</v>
      </c>
      <c r="AB46" s="208">
        <f t="shared" si="73"/>
        <v>0.22136642419055769</v>
      </c>
      <c r="AC46" s="208">
        <f t="shared" si="74"/>
        <v>0.94075829383886256</v>
      </c>
      <c r="AD46" s="208">
        <f t="shared" si="75"/>
        <v>0.97413372376769158</v>
      </c>
    </row>
    <row r="47" spans="1:30" ht="14.25" x14ac:dyDescent="0.2">
      <c r="A47" s="24" t="s">
        <v>165</v>
      </c>
      <c r="B47" s="83"/>
      <c r="C47" s="83"/>
      <c r="D47" s="83"/>
      <c r="E47" s="83"/>
      <c r="F47" s="83"/>
      <c r="G47" s="52">
        <f>277+454</f>
        <v>731</v>
      </c>
      <c r="H47" s="52">
        <f>55+424</f>
        <v>479</v>
      </c>
      <c r="I47" s="52">
        <f>1830+1089</f>
        <v>2919</v>
      </c>
      <c r="J47" s="52">
        <f>424+223</f>
        <v>647</v>
      </c>
      <c r="K47" s="52">
        <f>G47+I47</f>
        <v>3650</v>
      </c>
      <c r="L47" s="52">
        <f>H47+J47</f>
        <v>1126</v>
      </c>
      <c r="M47" s="198"/>
      <c r="N47" s="52">
        <v>45</v>
      </c>
      <c r="O47" s="52">
        <v>45</v>
      </c>
      <c r="P47" s="52">
        <v>482</v>
      </c>
      <c r="Q47" s="52">
        <v>408</v>
      </c>
      <c r="R47" s="52">
        <f>N47+P47</f>
        <v>527</v>
      </c>
      <c r="S47" s="52">
        <f>O47+Q47</f>
        <v>453</v>
      </c>
      <c r="T47" s="198"/>
      <c r="U47" s="194">
        <v>34</v>
      </c>
      <c r="V47" s="194">
        <v>29</v>
      </c>
      <c r="W47" s="52">
        <v>1574</v>
      </c>
      <c r="X47" s="52">
        <v>1557</v>
      </c>
      <c r="Y47" s="53"/>
      <c r="Z47" s="52">
        <f t="shared" si="72"/>
        <v>5751</v>
      </c>
      <c r="AB47" s="208">
        <f t="shared" si="73"/>
        <v>0.30849315068493149</v>
      </c>
      <c r="AC47" s="208">
        <f t="shared" si="74"/>
        <v>0.85958254269449719</v>
      </c>
      <c r="AD47" s="208">
        <f t="shared" si="75"/>
        <v>0.98919949174078781</v>
      </c>
    </row>
    <row r="48" spans="1:30" ht="14.25" x14ac:dyDescent="0.2">
      <c r="A48" s="24" t="s">
        <v>166</v>
      </c>
      <c r="B48" s="83"/>
      <c r="C48" s="83"/>
      <c r="D48" s="83"/>
      <c r="E48" s="83"/>
      <c r="F48" s="83"/>
      <c r="G48" s="52">
        <v>546</v>
      </c>
      <c r="H48" s="52">
        <v>104</v>
      </c>
      <c r="I48" s="52">
        <v>4795</v>
      </c>
      <c r="J48" s="52">
        <v>1058</v>
      </c>
      <c r="K48" s="52">
        <f>G48+I48</f>
        <v>5341</v>
      </c>
      <c r="L48" s="52">
        <f>J48+H48</f>
        <v>1162</v>
      </c>
      <c r="M48" s="198"/>
      <c r="N48" s="52">
        <v>355</v>
      </c>
      <c r="O48" s="52">
        <v>343</v>
      </c>
      <c r="P48" s="52">
        <v>2982</v>
      </c>
      <c r="Q48" s="52">
        <v>2697</v>
      </c>
      <c r="R48" s="52">
        <f>P48+N48</f>
        <v>3337</v>
      </c>
      <c r="S48" s="52">
        <f>Q48+O48</f>
        <v>3040</v>
      </c>
      <c r="T48" s="198"/>
      <c r="U48" s="194">
        <v>210</v>
      </c>
      <c r="V48" s="194">
        <v>200</v>
      </c>
      <c r="W48" s="52">
        <f>2986+107+77+66</f>
        <v>3236</v>
      </c>
      <c r="X48" s="52">
        <f>2954+106+75+65</f>
        <v>3200</v>
      </c>
      <c r="Y48" s="52"/>
      <c r="Z48" s="52">
        <f t="shared" si="72"/>
        <v>11914</v>
      </c>
      <c r="AB48" s="208">
        <f t="shared" si="73"/>
        <v>0.21756225425950196</v>
      </c>
      <c r="AC48" s="208">
        <f t="shared" si="74"/>
        <v>0.9109979023074618</v>
      </c>
      <c r="AD48" s="208">
        <f t="shared" si="75"/>
        <v>0.9888751545117429</v>
      </c>
    </row>
    <row r="49" spans="1:25" x14ac:dyDescent="0.2">
      <c r="A49" s="40" t="s">
        <v>62</v>
      </c>
      <c r="B49" s="40"/>
      <c r="C49" s="40"/>
      <c r="D49" s="40"/>
      <c r="E49" s="40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x14ac:dyDescent="0.2">
      <c r="A50" s="56" t="s">
        <v>124</v>
      </c>
      <c r="B50" s="40"/>
      <c r="C50" s="40"/>
      <c r="D50" s="40"/>
      <c r="E50" s="40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x14ac:dyDescent="0.2">
      <c r="A51" s="56" t="s">
        <v>125</v>
      </c>
      <c r="D51" s="56"/>
      <c r="E51" s="5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2">
      <c r="A52" s="56" t="s">
        <v>135</v>
      </c>
      <c r="B52" s="56"/>
      <c r="C52" s="56"/>
      <c r="D52" s="56"/>
      <c r="E52" s="56"/>
    </row>
    <row r="53" spans="1:25" x14ac:dyDescent="0.2">
      <c r="A53" s="60" t="s">
        <v>126</v>
      </c>
      <c r="B53" s="56"/>
      <c r="C53" s="56"/>
      <c r="D53" s="56"/>
      <c r="E53" s="56"/>
    </row>
    <row r="54" spans="1:25" x14ac:dyDescent="0.2">
      <c r="A54" s="31" t="s">
        <v>154</v>
      </c>
      <c r="B54" s="56"/>
      <c r="C54" s="56"/>
      <c r="D54" s="56"/>
      <c r="E54" s="56"/>
    </row>
    <row r="55" spans="1:25" x14ac:dyDescent="0.2">
      <c r="A55" s="31" t="s">
        <v>155</v>
      </c>
    </row>
    <row r="56" spans="1:25" x14ac:dyDescent="0.2">
      <c r="A56" s="15" t="s">
        <v>156</v>
      </c>
    </row>
    <row r="59" spans="1:25" x14ac:dyDescent="0.2">
      <c r="P59" s="123"/>
    </row>
  </sheetData>
  <mergeCells count="3">
    <mergeCell ref="U2:X2"/>
    <mergeCell ref="U3:V3"/>
    <mergeCell ref="G12:X12"/>
  </mergeCells>
  <printOptions horizontalCentered="1"/>
  <pageMargins left="0.25" right="0.25" top="0.25" bottom="0.25" header="0" footer="0"/>
  <pageSetup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624B-2949-47E7-A0DA-C35672E6A580}">
  <dimension ref="A1:CT46"/>
  <sheetViews>
    <sheetView workbookViewId="0">
      <pane xSplit="1" topLeftCell="AK1" activePane="topRight" state="frozen"/>
      <selection pane="topRight" activeCell="CU24" sqref="CU24"/>
    </sheetView>
  </sheetViews>
  <sheetFormatPr defaultRowHeight="12.75" x14ac:dyDescent="0.2"/>
  <cols>
    <col min="1" max="1" width="7.140625" customWidth="1"/>
    <col min="2" max="2" width="9.42578125" customWidth="1"/>
    <col min="3" max="3" width="2.42578125" customWidth="1"/>
    <col min="4" max="4" width="8.140625" customWidth="1"/>
    <col min="5" max="5" width="2" customWidth="1"/>
    <col min="6" max="8" width="8.7109375" customWidth="1"/>
    <col min="9" max="9" width="2.42578125" customWidth="1"/>
    <col min="10" max="13" width="8.7109375" customWidth="1"/>
    <col min="14" max="14" width="2.42578125" customWidth="1"/>
    <col min="15" max="17" width="8.7109375" customWidth="1"/>
    <col min="18" max="18" width="2.42578125" customWidth="1"/>
    <col min="19" max="21" width="8.7109375" customWidth="1"/>
    <col min="22" max="22" width="2.42578125" customWidth="1"/>
    <col min="23" max="25" width="8.7109375" customWidth="1"/>
    <col min="26" max="26" width="2.42578125" customWidth="1"/>
    <col min="27" max="29" width="8.7109375" customWidth="1"/>
    <col min="30" max="30" width="2.42578125" customWidth="1"/>
    <col min="31" max="33" width="8.7109375" customWidth="1"/>
    <col min="34" max="34" width="2.42578125" customWidth="1"/>
    <col min="35" max="37" width="8.7109375" customWidth="1"/>
    <col min="38" max="38" width="2.42578125" customWidth="1"/>
    <col min="39" max="40" width="8.7109375" customWidth="1"/>
    <col min="41" max="41" width="8.7109375" style="46" customWidth="1"/>
    <col min="42" max="42" width="2.42578125" customWidth="1"/>
    <col min="43" max="43" width="8.7109375" style="60" customWidth="1"/>
    <col min="44" max="45" width="8.7109375" customWidth="1"/>
    <col min="46" max="46" width="2.42578125" customWidth="1"/>
    <col min="47" max="49" width="8.7109375" customWidth="1"/>
    <col min="50" max="50" width="2.42578125" customWidth="1"/>
    <col min="51" max="53" width="8.7109375" customWidth="1"/>
    <col min="54" max="54" width="2.42578125" customWidth="1"/>
    <col min="55" max="57" width="8.7109375" customWidth="1"/>
    <col min="58" max="58" width="2.42578125" customWidth="1"/>
    <col min="59" max="61" width="8.7109375" customWidth="1"/>
    <col min="62" max="62" width="2.42578125" customWidth="1"/>
    <col min="63" max="65" width="8.7109375" style="70" customWidth="1"/>
    <col min="66" max="66" width="2.42578125" customWidth="1"/>
    <col min="70" max="70" width="2.7109375" customWidth="1"/>
    <col min="74" max="74" width="3" customWidth="1"/>
    <col min="75" max="75" width="10.42578125" bestFit="1" customWidth="1"/>
    <col min="79" max="79" width="2.42578125" customWidth="1"/>
    <col min="80" max="83" width="9.140625" style="40"/>
    <col min="84" max="84" width="2.5703125" customWidth="1"/>
    <col min="85" max="85" width="11" style="46" bestFit="1" customWidth="1"/>
    <col min="86" max="87" width="9.42578125" style="46" bestFit="1" customWidth="1"/>
    <col min="88" max="88" width="9.28515625" style="46" bestFit="1" customWidth="1"/>
    <col min="89" max="89" width="3.140625" customWidth="1"/>
  </cols>
  <sheetData>
    <row r="1" spans="1:98" s="33" customFormat="1" x14ac:dyDescent="0.2">
      <c r="F1" s="33" t="s">
        <v>140</v>
      </c>
      <c r="S1" s="33" t="str">
        <f>F1</f>
        <v>Junction City weir, cumulative weekly trapping totals, 2004-2024.</v>
      </c>
      <c r="AE1" s="59" t="str">
        <f>F1</f>
        <v>Junction City weir, cumulative weekly trapping totals, 2004-2024.</v>
      </c>
      <c r="AO1" s="36"/>
      <c r="AQ1" s="60"/>
      <c r="AU1" s="61" t="str">
        <f>F1</f>
        <v>Junction City weir, cumulative weekly trapping totals, 2004-2024.</v>
      </c>
      <c r="BC1" s="33" t="str">
        <f>F1</f>
        <v>Junction City weir, cumulative weekly trapping totals, 2004-2024.</v>
      </c>
      <c r="BK1" s="62"/>
      <c r="BL1" s="62"/>
      <c r="BM1" s="62"/>
      <c r="CB1" s="40"/>
      <c r="CC1" s="40"/>
      <c r="CD1" s="40"/>
      <c r="CE1" s="40"/>
      <c r="CG1" s="36"/>
      <c r="CH1" s="36"/>
      <c r="CI1" s="36"/>
      <c r="CJ1" s="36"/>
    </row>
    <row r="2" spans="1:98" s="33" customFormat="1" x14ac:dyDescent="0.2">
      <c r="F2" s="257" t="s">
        <v>75</v>
      </c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35"/>
      <c r="S2" s="257" t="s">
        <v>75</v>
      </c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35"/>
      <c r="AE2" s="257" t="s">
        <v>75</v>
      </c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35"/>
      <c r="AQ2" s="257" t="s">
        <v>75</v>
      </c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K2" s="62"/>
      <c r="BL2" s="62"/>
      <c r="BM2" s="62"/>
      <c r="CB2" s="40"/>
      <c r="CC2" s="40"/>
      <c r="CD2" s="40"/>
      <c r="CE2" s="40"/>
      <c r="CG2" s="36"/>
      <c r="CH2" s="36"/>
      <c r="CI2" s="36"/>
      <c r="CJ2" s="36"/>
    </row>
    <row r="3" spans="1:98" s="33" customFormat="1" x14ac:dyDescent="0.2">
      <c r="A3" s="36" t="s">
        <v>38</v>
      </c>
      <c r="F3" s="39"/>
      <c r="G3" s="39">
        <v>2004</v>
      </c>
      <c r="H3" s="39"/>
      <c r="I3" s="36"/>
      <c r="J3" s="39"/>
      <c r="K3" s="39"/>
      <c r="L3" s="39">
        <v>2005</v>
      </c>
      <c r="M3" s="39"/>
      <c r="N3" s="36"/>
      <c r="O3" s="39"/>
      <c r="P3" s="39">
        <v>2006</v>
      </c>
      <c r="Q3" s="39"/>
      <c r="R3" s="36"/>
      <c r="S3" s="39"/>
      <c r="T3" s="39">
        <v>2007</v>
      </c>
      <c r="U3" s="39"/>
      <c r="V3" s="36"/>
      <c r="W3" s="39"/>
      <c r="X3" s="39">
        <v>2008</v>
      </c>
      <c r="Y3" s="39"/>
      <c r="Z3" s="36"/>
      <c r="AA3" s="39"/>
      <c r="AB3" s="39">
        <v>2009</v>
      </c>
      <c r="AC3" s="39"/>
      <c r="AE3" s="39"/>
      <c r="AF3" s="39">
        <v>2010</v>
      </c>
      <c r="AG3" s="39"/>
      <c r="AI3" s="39"/>
      <c r="AJ3" s="39">
        <v>2011</v>
      </c>
      <c r="AK3" s="39"/>
      <c r="AL3" s="39"/>
      <c r="AM3" s="39"/>
      <c r="AN3" s="39">
        <v>2012</v>
      </c>
      <c r="AO3" s="39"/>
      <c r="AQ3" s="63"/>
      <c r="AR3" s="39">
        <v>2013</v>
      </c>
      <c r="AS3" s="39"/>
      <c r="AU3" s="63"/>
      <c r="AV3" s="39">
        <v>2014</v>
      </c>
      <c r="AW3" s="39"/>
      <c r="AX3" s="36"/>
      <c r="AY3" s="63"/>
      <c r="AZ3" s="39">
        <v>2015</v>
      </c>
      <c r="BA3" s="39"/>
      <c r="BC3" s="64"/>
      <c r="BD3" s="64">
        <v>2016</v>
      </c>
      <c r="BE3" s="64"/>
      <c r="BF3" s="49"/>
      <c r="BG3" s="64"/>
      <c r="BH3" s="64">
        <v>2017</v>
      </c>
      <c r="BI3" s="64"/>
      <c r="BJ3" s="49"/>
      <c r="BK3" s="65"/>
      <c r="BL3" s="65">
        <v>2018</v>
      </c>
      <c r="BM3" s="65"/>
      <c r="BO3" s="272">
        <v>2019</v>
      </c>
      <c r="BP3" s="272"/>
      <c r="BQ3" s="272"/>
      <c r="BS3" s="272">
        <v>2020</v>
      </c>
      <c r="BT3" s="272"/>
      <c r="BU3" s="272"/>
      <c r="BW3" s="272">
        <v>2021</v>
      </c>
      <c r="BX3" s="272"/>
      <c r="BY3" s="272"/>
      <c r="BZ3" s="272"/>
      <c r="CB3" s="272">
        <v>2022</v>
      </c>
      <c r="CC3" s="272"/>
      <c r="CD3" s="272"/>
      <c r="CE3" s="272"/>
      <c r="CG3" s="272">
        <v>2023</v>
      </c>
      <c r="CH3" s="272"/>
      <c r="CI3" s="272"/>
      <c r="CJ3" s="272"/>
      <c r="CL3" s="272">
        <v>2024</v>
      </c>
      <c r="CM3" s="272"/>
      <c r="CN3" s="272"/>
      <c r="CO3" s="272"/>
      <c r="CQ3" s="271"/>
      <c r="CR3" s="271"/>
      <c r="CS3" s="271"/>
      <c r="CT3" s="271"/>
    </row>
    <row r="4" spans="1:98" s="33" customFormat="1" x14ac:dyDescent="0.2">
      <c r="A4" s="39" t="s">
        <v>44</v>
      </c>
      <c r="B4" s="34" t="s">
        <v>138</v>
      </c>
      <c r="C4" s="34"/>
      <c r="D4" s="34"/>
      <c r="E4" s="38"/>
      <c r="F4" s="39" t="s">
        <v>34</v>
      </c>
      <c r="G4" s="39" t="s">
        <v>76</v>
      </c>
      <c r="H4" s="39" t="s">
        <v>36</v>
      </c>
      <c r="I4" s="39"/>
      <c r="J4" s="39" t="s">
        <v>34</v>
      </c>
      <c r="K4" s="39" t="s">
        <v>77</v>
      </c>
      <c r="L4" s="39" t="s">
        <v>35</v>
      </c>
      <c r="M4" s="39" t="s">
        <v>36</v>
      </c>
      <c r="N4" s="39"/>
      <c r="O4" s="39" t="s">
        <v>34</v>
      </c>
      <c r="P4" s="39" t="s">
        <v>76</v>
      </c>
      <c r="Q4" s="39" t="s">
        <v>36</v>
      </c>
      <c r="R4" s="36"/>
      <c r="S4" s="39" t="s">
        <v>34</v>
      </c>
      <c r="T4" s="39" t="s">
        <v>76</v>
      </c>
      <c r="U4" s="39" t="s">
        <v>36</v>
      </c>
      <c r="V4" s="39"/>
      <c r="W4" s="39" t="s">
        <v>34</v>
      </c>
      <c r="X4" s="39" t="s">
        <v>76</v>
      </c>
      <c r="Y4" s="39" t="s">
        <v>36</v>
      </c>
      <c r="Z4" s="39"/>
      <c r="AA4" s="39" t="s">
        <v>34</v>
      </c>
      <c r="AB4" s="39" t="s">
        <v>76</v>
      </c>
      <c r="AC4" s="39" t="s">
        <v>36</v>
      </c>
      <c r="AE4" s="39" t="s">
        <v>34</v>
      </c>
      <c r="AF4" s="39" t="s">
        <v>76</v>
      </c>
      <c r="AG4" s="39" t="s">
        <v>36</v>
      </c>
      <c r="AI4" s="39" t="s">
        <v>34</v>
      </c>
      <c r="AJ4" s="39" t="s">
        <v>76</v>
      </c>
      <c r="AK4" s="39" t="s">
        <v>36</v>
      </c>
      <c r="AL4" s="39"/>
      <c r="AM4" s="39" t="s">
        <v>34</v>
      </c>
      <c r="AN4" s="39" t="s">
        <v>76</v>
      </c>
      <c r="AO4" s="39" t="s">
        <v>36</v>
      </c>
      <c r="AQ4" s="39" t="s">
        <v>34</v>
      </c>
      <c r="AR4" s="39" t="s">
        <v>76</v>
      </c>
      <c r="AS4" s="39" t="s">
        <v>36</v>
      </c>
      <c r="AT4" s="38"/>
      <c r="AU4" s="39" t="s">
        <v>34</v>
      </c>
      <c r="AV4" s="39" t="s">
        <v>76</v>
      </c>
      <c r="AW4" s="39" t="s">
        <v>36</v>
      </c>
      <c r="AX4" s="36"/>
      <c r="AY4" s="39" t="s">
        <v>34</v>
      </c>
      <c r="AZ4" s="39" t="s">
        <v>76</v>
      </c>
      <c r="BA4" s="39" t="s">
        <v>36</v>
      </c>
      <c r="BC4" s="39" t="s">
        <v>34</v>
      </c>
      <c r="BD4" s="39" t="s">
        <v>76</v>
      </c>
      <c r="BE4" s="39" t="s">
        <v>36</v>
      </c>
      <c r="BF4" s="39"/>
      <c r="BG4" s="39" t="s">
        <v>34</v>
      </c>
      <c r="BH4" s="39" t="s">
        <v>76</v>
      </c>
      <c r="BI4" s="39" t="s">
        <v>36</v>
      </c>
      <c r="BJ4" s="39"/>
      <c r="BK4" s="66" t="s">
        <v>34</v>
      </c>
      <c r="BL4" s="66" t="s">
        <v>76</v>
      </c>
      <c r="BM4" s="66" t="s">
        <v>36</v>
      </c>
      <c r="BO4" s="66" t="s">
        <v>34</v>
      </c>
      <c r="BP4" s="66" t="s">
        <v>76</v>
      </c>
      <c r="BQ4" s="66" t="s">
        <v>36</v>
      </c>
      <c r="BS4" s="66" t="s">
        <v>34</v>
      </c>
      <c r="BT4" s="66" t="s">
        <v>76</v>
      </c>
      <c r="BU4" s="66" t="s">
        <v>36</v>
      </c>
      <c r="BW4" s="66" t="s">
        <v>34</v>
      </c>
      <c r="BX4" s="66" t="s">
        <v>35</v>
      </c>
      <c r="BY4" s="66" t="s">
        <v>36</v>
      </c>
      <c r="BZ4" s="66" t="s">
        <v>78</v>
      </c>
      <c r="CB4" s="66" t="s">
        <v>34</v>
      </c>
      <c r="CC4" s="66" t="s">
        <v>35</v>
      </c>
      <c r="CD4" s="66" t="s">
        <v>36</v>
      </c>
      <c r="CE4" s="66" t="s">
        <v>78</v>
      </c>
      <c r="CG4" s="66" t="s">
        <v>34</v>
      </c>
      <c r="CH4" s="66" t="s">
        <v>35</v>
      </c>
      <c r="CI4" s="66" t="s">
        <v>36</v>
      </c>
      <c r="CJ4" s="66" t="s">
        <v>78</v>
      </c>
      <c r="CL4" s="66" t="s">
        <v>34</v>
      </c>
      <c r="CM4" s="66" t="s">
        <v>35</v>
      </c>
      <c r="CN4" s="66" t="s">
        <v>36</v>
      </c>
      <c r="CO4" s="66" t="s">
        <v>78</v>
      </c>
      <c r="CQ4" s="62"/>
      <c r="CR4" s="62"/>
      <c r="CS4" s="62"/>
      <c r="CT4" s="62"/>
    </row>
    <row r="5" spans="1:98" s="33" customFormat="1" x14ac:dyDescent="0.2">
      <c r="A5" s="36">
        <v>22</v>
      </c>
      <c r="B5" s="67">
        <f>D5-6</f>
        <v>44709</v>
      </c>
      <c r="C5" s="35"/>
      <c r="D5" s="67">
        <v>44715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E5" s="36"/>
      <c r="AF5" s="36"/>
      <c r="AG5" s="36"/>
      <c r="AI5" s="36"/>
      <c r="AJ5" s="36"/>
      <c r="AK5" s="36"/>
      <c r="AL5" s="36"/>
      <c r="AM5" s="36"/>
      <c r="AN5" s="36"/>
      <c r="AO5" s="36"/>
      <c r="AQ5" s="36"/>
      <c r="AR5" s="36"/>
      <c r="AS5" s="36"/>
      <c r="AU5" s="36"/>
      <c r="AV5" s="36"/>
      <c r="AW5" s="36"/>
      <c r="AX5" s="36"/>
      <c r="AY5" s="36"/>
      <c r="AZ5" s="36"/>
      <c r="BA5" s="36"/>
      <c r="BC5" s="36"/>
      <c r="BD5" s="36"/>
      <c r="BE5" s="36"/>
      <c r="BF5" s="36"/>
      <c r="BG5" s="36"/>
      <c r="BH5" s="36"/>
      <c r="BI5" s="36"/>
      <c r="BJ5" s="36"/>
      <c r="BK5" s="62"/>
      <c r="BL5" s="62"/>
      <c r="BM5" s="62"/>
      <c r="BO5" s="62"/>
      <c r="BP5" s="62"/>
      <c r="BQ5" s="62"/>
      <c r="BS5" s="62"/>
      <c r="BT5" s="62"/>
      <c r="BU5" s="62"/>
      <c r="BW5" s="62"/>
      <c r="BX5" s="62"/>
      <c r="BY5" s="62"/>
      <c r="CB5" s="68">
        <v>46</v>
      </c>
      <c r="CC5" s="68"/>
      <c r="CD5" s="68"/>
      <c r="CE5" s="68"/>
      <c r="CG5" s="36"/>
      <c r="CH5" s="36"/>
      <c r="CI5" s="36"/>
      <c r="CJ5" s="36"/>
      <c r="CL5" s="36"/>
      <c r="CM5" s="36"/>
      <c r="CN5" s="36"/>
      <c r="CO5" s="36"/>
      <c r="CQ5" s="36"/>
      <c r="CR5" s="36"/>
      <c r="CS5" s="36"/>
      <c r="CT5" s="36"/>
    </row>
    <row r="6" spans="1:98" s="33" customFormat="1" x14ac:dyDescent="0.2">
      <c r="A6" s="40">
        <v>23</v>
      </c>
      <c r="B6" s="47">
        <v>38142</v>
      </c>
      <c r="C6" s="46" t="s">
        <v>79</v>
      </c>
      <c r="D6" s="47">
        <v>40339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E6" s="36"/>
      <c r="AF6" s="36"/>
      <c r="AG6" s="36"/>
      <c r="AI6" s="36"/>
      <c r="AJ6" s="36"/>
      <c r="AK6" s="36"/>
      <c r="AL6" s="36"/>
      <c r="AO6" s="36"/>
      <c r="AQ6" s="40">
        <v>1</v>
      </c>
      <c r="AR6" s="40">
        <v>3</v>
      </c>
      <c r="AS6" s="40">
        <v>1</v>
      </c>
      <c r="AU6" s="40">
        <v>2</v>
      </c>
      <c r="AV6" s="40">
        <v>9</v>
      </c>
      <c r="AW6" s="40">
        <v>0</v>
      </c>
      <c r="AY6" s="40"/>
      <c r="AZ6" s="40"/>
      <c r="BA6" s="40"/>
      <c r="BK6" s="62"/>
      <c r="BL6" s="62"/>
      <c r="BM6" s="62"/>
      <c r="BO6" s="36"/>
      <c r="BP6" s="36"/>
      <c r="BQ6" s="36"/>
      <c r="BS6" s="40">
        <v>1</v>
      </c>
      <c r="BT6" s="40"/>
      <c r="BU6" s="40"/>
      <c r="BW6" s="68">
        <v>12</v>
      </c>
      <c r="BX6" s="68"/>
      <c r="BY6" s="68"/>
      <c r="BZ6" s="68">
        <v>1</v>
      </c>
      <c r="CB6" s="68">
        <v>111</v>
      </c>
      <c r="CC6" s="68"/>
      <c r="CD6" s="68">
        <v>1</v>
      </c>
      <c r="CE6" s="68"/>
      <c r="CG6" s="36"/>
      <c r="CH6" s="36"/>
      <c r="CI6" s="36"/>
      <c r="CJ6" s="36"/>
      <c r="CL6" s="36"/>
      <c r="CM6" s="36"/>
      <c r="CN6" s="36"/>
      <c r="CO6" s="36"/>
      <c r="CQ6" s="36"/>
      <c r="CR6" s="36"/>
      <c r="CS6" s="36"/>
      <c r="CT6" s="36"/>
    </row>
    <row r="7" spans="1:98" x14ac:dyDescent="0.2">
      <c r="A7" s="46">
        <v>24</v>
      </c>
      <c r="B7" s="47">
        <v>40340</v>
      </c>
      <c r="C7" s="46" t="s">
        <v>79</v>
      </c>
      <c r="D7" s="47">
        <v>40346</v>
      </c>
      <c r="J7" s="53"/>
      <c r="K7" s="53"/>
      <c r="L7" s="53"/>
      <c r="M7" s="53"/>
      <c r="O7" s="53"/>
      <c r="P7" s="53"/>
      <c r="Q7" s="53"/>
      <c r="S7" s="53"/>
      <c r="T7" s="53"/>
      <c r="U7" s="53"/>
      <c r="W7" s="53"/>
      <c r="X7" s="53"/>
      <c r="Y7" s="53"/>
      <c r="AA7" s="46">
        <v>0</v>
      </c>
      <c r="AB7" s="46">
        <v>1</v>
      </c>
      <c r="AC7" s="46">
        <v>0</v>
      </c>
      <c r="AQ7" s="40">
        <v>7</v>
      </c>
      <c r="AR7" s="40">
        <v>11</v>
      </c>
      <c r="AS7" s="40">
        <v>5</v>
      </c>
      <c r="AU7" s="46">
        <v>125</v>
      </c>
      <c r="AV7" s="46">
        <v>45</v>
      </c>
      <c r="AW7" s="46">
        <v>1</v>
      </c>
      <c r="AY7" s="46">
        <v>11</v>
      </c>
      <c r="AZ7" s="46">
        <v>7</v>
      </c>
      <c r="BA7" s="46">
        <v>2</v>
      </c>
      <c r="BK7" s="69">
        <v>48</v>
      </c>
      <c r="BL7" s="70">
        <v>0</v>
      </c>
      <c r="BM7" s="70">
        <v>1</v>
      </c>
      <c r="BO7" s="46"/>
      <c r="BP7" s="46"/>
      <c r="BQ7" s="46"/>
      <c r="BS7" s="40">
        <v>2</v>
      </c>
      <c r="BT7" s="40"/>
      <c r="BU7" s="40"/>
      <c r="BW7" s="68">
        <v>44</v>
      </c>
      <c r="BX7" s="68"/>
      <c r="BY7" s="68">
        <v>1</v>
      </c>
      <c r="BZ7" s="68">
        <v>1</v>
      </c>
      <c r="CB7" s="68">
        <v>400</v>
      </c>
      <c r="CC7" s="68"/>
      <c r="CD7" s="68">
        <v>3</v>
      </c>
      <c r="CE7" s="68">
        <v>1</v>
      </c>
      <c r="CG7" s="182">
        <v>6</v>
      </c>
      <c r="CH7" s="182">
        <v>0</v>
      </c>
      <c r="CI7" s="182">
        <v>0</v>
      </c>
      <c r="CJ7" s="182">
        <v>2</v>
      </c>
      <c r="CK7" s="46"/>
      <c r="CL7" s="182"/>
      <c r="CM7" s="182"/>
      <c r="CN7" s="182"/>
      <c r="CO7" s="182"/>
      <c r="CQ7" s="182"/>
      <c r="CR7" s="182"/>
      <c r="CS7" s="182"/>
      <c r="CT7" s="182"/>
    </row>
    <row r="8" spans="1:98" x14ac:dyDescent="0.2">
      <c r="A8" s="46">
        <f t="shared" ref="A8:A34" si="0">A7+1</f>
        <v>25</v>
      </c>
      <c r="B8" s="47">
        <f t="shared" ref="B8:B19" si="1">B7+7</f>
        <v>40347</v>
      </c>
      <c r="C8" s="46" t="s">
        <v>79</v>
      </c>
      <c r="D8" s="47">
        <f t="shared" ref="D8:D19" si="2">D7+7</f>
        <v>40353</v>
      </c>
      <c r="J8" s="53"/>
      <c r="K8" s="53"/>
      <c r="L8" s="53"/>
      <c r="M8" s="53"/>
      <c r="O8" s="53"/>
      <c r="P8" s="53"/>
      <c r="Q8" s="53"/>
      <c r="S8" s="53">
        <v>15</v>
      </c>
      <c r="T8" s="46">
        <v>60</v>
      </c>
      <c r="U8" s="53">
        <v>23</v>
      </c>
      <c r="X8" s="53"/>
      <c r="AA8" s="46">
        <v>10</v>
      </c>
      <c r="AB8" s="46">
        <v>28</v>
      </c>
      <c r="AC8" s="46">
        <v>3</v>
      </c>
      <c r="AQ8" s="40">
        <v>111</v>
      </c>
      <c r="AR8" s="40">
        <v>53</v>
      </c>
      <c r="AS8" s="40">
        <v>15</v>
      </c>
      <c r="AU8" s="46">
        <v>331</v>
      </c>
      <c r="AV8" s="46">
        <v>64</v>
      </c>
      <c r="AW8" s="46">
        <v>7</v>
      </c>
      <c r="AY8" s="46">
        <v>41</v>
      </c>
      <c r="AZ8" s="46">
        <v>12</v>
      </c>
      <c r="BA8" s="46">
        <v>3</v>
      </c>
      <c r="BK8" s="69">
        <v>250</v>
      </c>
      <c r="BL8" s="70">
        <v>3</v>
      </c>
      <c r="BM8" s="70">
        <v>4</v>
      </c>
      <c r="BO8" s="46"/>
      <c r="BP8" s="46"/>
      <c r="BQ8" s="46"/>
      <c r="BS8" s="40">
        <v>21</v>
      </c>
      <c r="BT8" s="40">
        <v>3</v>
      </c>
      <c r="BU8" s="40">
        <v>6</v>
      </c>
      <c r="BW8" s="68">
        <v>418</v>
      </c>
      <c r="BX8" s="68"/>
      <c r="BY8" s="68">
        <v>7</v>
      </c>
      <c r="BZ8" s="68">
        <v>5</v>
      </c>
      <c r="CB8" s="68">
        <v>1024</v>
      </c>
      <c r="CC8" s="68"/>
      <c r="CD8" s="68">
        <v>7</v>
      </c>
      <c r="CE8" s="68">
        <v>5</v>
      </c>
      <c r="CG8" s="182">
        <v>91</v>
      </c>
      <c r="CH8" s="182">
        <v>0</v>
      </c>
      <c r="CI8" s="182">
        <v>4</v>
      </c>
      <c r="CJ8" s="182">
        <v>10</v>
      </c>
      <c r="CK8" s="46"/>
      <c r="CL8" s="182"/>
      <c r="CM8" s="182"/>
      <c r="CN8" s="182"/>
      <c r="CO8" s="182"/>
      <c r="CQ8" s="182"/>
      <c r="CR8" s="182"/>
      <c r="CS8" s="182"/>
      <c r="CT8" s="182"/>
    </row>
    <row r="9" spans="1:98" x14ac:dyDescent="0.2">
      <c r="A9" s="46">
        <f t="shared" si="0"/>
        <v>26</v>
      </c>
      <c r="B9" s="47">
        <f t="shared" si="1"/>
        <v>40354</v>
      </c>
      <c r="C9" s="46" t="s">
        <v>79</v>
      </c>
      <c r="D9" s="47">
        <f t="shared" si="2"/>
        <v>40360</v>
      </c>
      <c r="F9" s="53"/>
      <c r="G9" s="53"/>
      <c r="H9" s="53"/>
      <c r="J9" s="53"/>
      <c r="K9" s="53"/>
      <c r="L9" s="53"/>
      <c r="M9" s="53"/>
      <c r="O9" s="53"/>
      <c r="P9" s="53"/>
      <c r="Q9" s="53"/>
      <c r="S9" s="53">
        <v>114</v>
      </c>
      <c r="T9" s="46">
        <v>114</v>
      </c>
      <c r="U9" s="53">
        <v>59</v>
      </c>
      <c r="X9" s="53"/>
      <c r="AA9" s="46">
        <v>55</v>
      </c>
      <c r="AB9" s="46">
        <v>73</v>
      </c>
      <c r="AC9" s="46">
        <v>12</v>
      </c>
      <c r="AQ9" s="40">
        <v>293</v>
      </c>
      <c r="AR9" s="40">
        <v>78</v>
      </c>
      <c r="AS9" s="40">
        <v>23</v>
      </c>
      <c r="AU9" s="46">
        <v>565</v>
      </c>
      <c r="AV9" s="46">
        <v>91</v>
      </c>
      <c r="AW9" s="46">
        <v>8</v>
      </c>
      <c r="AY9" s="46">
        <v>113</v>
      </c>
      <c r="AZ9" s="46">
        <v>28</v>
      </c>
      <c r="BA9" s="46">
        <v>10</v>
      </c>
      <c r="BK9" s="69">
        <v>712</v>
      </c>
      <c r="BL9" s="70">
        <v>9</v>
      </c>
      <c r="BM9" s="70">
        <v>13</v>
      </c>
      <c r="BO9" s="46"/>
      <c r="BP9" s="46"/>
      <c r="BQ9" s="46"/>
      <c r="BS9" s="40">
        <v>120</v>
      </c>
      <c r="BT9" s="40">
        <v>5</v>
      </c>
      <c r="BU9" s="40">
        <v>18</v>
      </c>
      <c r="BW9" s="68">
        <v>539</v>
      </c>
      <c r="BX9" s="68"/>
      <c r="BY9" s="68">
        <v>33</v>
      </c>
      <c r="BZ9" s="68">
        <v>6</v>
      </c>
      <c r="CB9" s="68">
        <v>1507</v>
      </c>
      <c r="CC9" s="68"/>
      <c r="CD9" s="68">
        <v>15</v>
      </c>
      <c r="CE9" s="68">
        <v>12</v>
      </c>
      <c r="CG9" s="182">
        <v>134</v>
      </c>
      <c r="CH9" s="182">
        <v>0</v>
      </c>
      <c r="CI9" s="182">
        <v>12</v>
      </c>
      <c r="CJ9" s="182">
        <v>10</v>
      </c>
      <c r="CK9" s="46"/>
      <c r="CL9" s="182"/>
      <c r="CM9" s="182"/>
      <c r="CN9" s="182"/>
      <c r="CO9" s="182"/>
      <c r="CQ9" s="182"/>
      <c r="CR9" s="182"/>
      <c r="CS9" s="182"/>
      <c r="CT9" s="182"/>
    </row>
    <row r="10" spans="1:98" x14ac:dyDescent="0.2">
      <c r="A10" s="46">
        <f t="shared" si="0"/>
        <v>27</v>
      </c>
      <c r="B10" s="47">
        <f t="shared" si="1"/>
        <v>40361</v>
      </c>
      <c r="C10" s="46" t="s">
        <v>79</v>
      </c>
      <c r="D10" s="47">
        <f t="shared" si="2"/>
        <v>40367</v>
      </c>
      <c r="F10" s="53"/>
      <c r="G10" s="53"/>
      <c r="H10" s="53"/>
      <c r="J10" s="53"/>
      <c r="K10" s="53"/>
      <c r="L10" s="53"/>
      <c r="M10" s="53"/>
      <c r="O10" s="53"/>
      <c r="P10" s="53"/>
      <c r="Q10" s="53"/>
      <c r="S10" s="53">
        <v>381</v>
      </c>
      <c r="T10" s="46">
        <v>192</v>
      </c>
      <c r="U10" s="53">
        <v>113</v>
      </c>
      <c r="X10" s="53"/>
      <c r="AA10" s="46">
        <v>95</v>
      </c>
      <c r="AB10" s="46">
        <v>103</v>
      </c>
      <c r="AC10" s="46">
        <v>26</v>
      </c>
      <c r="AQ10" s="40">
        <v>517</v>
      </c>
      <c r="AR10" s="40">
        <v>104</v>
      </c>
      <c r="AS10" s="40">
        <v>30</v>
      </c>
      <c r="AU10" s="46">
        <v>706</v>
      </c>
      <c r="AV10" s="46">
        <v>111</v>
      </c>
      <c r="AW10" s="46">
        <v>11</v>
      </c>
      <c r="AY10" s="46">
        <v>191</v>
      </c>
      <c r="AZ10" s="46">
        <v>62</v>
      </c>
      <c r="BA10" s="46">
        <v>25</v>
      </c>
      <c r="BK10" s="69">
        <v>784</v>
      </c>
      <c r="BL10" s="70">
        <v>11</v>
      </c>
      <c r="BM10" s="70">
        <v>18</v>
      </c>
      <c r="BO10" s="46"/>
      <c r="BP10" s="46"/>
      <c r="BQ10" s="46"/>
      <c r="BS10" s="40">
        <v>169</v>
      </c>
      <c r="BT10" s="40">
        <v>5</v>
      </c>
      <c r="BU10" s="40">
        <v>27</v>
      </c>
      <c r="BW10" s="68">
        <v>557</v>
      </c>
      <c r="BX10" s="68"/>
      <c r="BY10" s="68">
        <v>42</v>
      </c>
      <c r="BZ10" s="68">
        <v>6</v>
      </c>
      <c r="CB10" s="68">
        <v>1666</v>
      </c>
      <c r="CC10" s="68"/>
      <c r="CD10" s="68">
        <v>45</v>
      </c>
      <c r="CE10" s="68">
        <v>18</v>
      </c>
      <c r="CG10" s="182">
        <v>823</v>
      </c>
      <c r="CH10" s="182">
        <v>0</v>
      </c>
      <c r="CI10" s="182">
        <v>49</v>
      </c>
      <c r="CJ10" s="182">
        <v>11</v>
      </c>
      <c r="CK10" s="46"/>
      <c r="CL10" s="182"/>
      <c r="CM10" s="182"/>
      <c r="CN10" s="182"/>
      <c r="CO10" s="182"/>
      <c r="CQ10" s="182"/>
      <c r="CR10" s="182"/>
      <c r="CS10" s="182"/>
      <c r="CT10" s="182"/>
    </row>
    <row r="11" spans="1:98" x14ac:dyDescent="0.2">
      <c r="A11" s="46">
        <f t="shared" si="0"/>
        <v>28</v>
      </c>
      <c r="B11" s="47">
        <f t="shared" si="1"/>
        <v>40368</v>
      </c>
      <c r="C11" s="46" t="s">
        <v>79</v>
      </c>
      <c r="D11" s="47">
        <f t="shared" si="2"/>
        <v>40374</v>
      </c>
      <c r="F11" s="53"/>
      <c r="G11" s="53"/>
      <c r="H11" s="53"/>
      <c r="J11" s="53"/>
      <c r="K11" s="53"/>
      <c r="L11" s="53"/>
      <c r="M11" s="53"/>
      <c r="O11" s="53"/>
      <c r="P11" s="53"/>
      <c r="Q11" s="53"/>
      <c r="S11" s="53">
        <v>436</v>
      </c>
      <c r="T11" s="46">
        <v>286</v>
      </c>
      <c r="U11" s="53">
        <v>152</v>
      </c>
      <c r="X11" s="53"/>
      <c r="AA11" s="46">
        <v>141</v>
      </c>
      <c r="AB11" s="46">
        <v>114</v>
      </c>
      <c r="AC11" s="46">
        <v>27</v>
      </c>
      <c r="AQ11" s="40">
        <v>559</v>
      </c>
      <c r="AR11" s="40">
        <v>161</v>
      </c>
      <c r="AS11" s="40">
        <v>31</v>
      </c>
      <c r="AU11" s="46">
        <v>777</v>
      </c>
      <c r="AV11" s="46">
        <v>149</v>
      </c>
      <c r="AW11" s="46">
        <v>15</v>
      </c>
      <c r="AY11" s="46">
        <v>195</v>
      </c>
      <c r="AZ11" s="46">
        <v>63</v>
      </c>
      <c r="BA11" s="46">
        <v>27</v>
      </c>
      <c r="BK11" s="69">
        <v>812</v>
      </c>
      <c r="BL11" s="70">
        <v>14</v>
      </c>
      <c r="BM11" s="70">
        <v>20</v>
      </c>
      <c r="BO11" s="46"/>
      <c r="BP11" s="46"/>
      <c r="BQ11" s="46"/>
      <c r="BS11" s="40">
        <v>209</v>
      </c>
      <c r="BT11" s="40">
        <v>11</v>
      </c>
      <c r="BU11" s="40">
        <v>33</v>
      </c>
      <c r="BW11" s="68">
        <v>577</v>
      </c>
      <c r="BX11" s="68"/>
      <c r="BY11" s="68">
        <v>44</v>
      </c>
      <c r="BZ11" s="68">
        <v>6</v>
      </c>
      <c r="CB11" s="68">
        <v>2069</v>
      </c>
      <c r="CC11" s="68"/>
      <c r="CD11" s="68">
        <v>50</v>
      </c>
      <c r="CE11" s="68">
        <v>21</v>
      </c>
      <c r="CG11" s="182">
        <v>1024</v>
      </c>
      <c r="CH11" s="182">
        <v>0</v>
      </c>
      <c r="CI11" s="182">
        <v>79</v>
      </c>
      <c r="CJ11" s="182">
        <v>13</v>
      </c>
      <c r="CK11" s="46"/>
      <c r="CL11" s="182">
        <v>76</v>
      </c>
      <c r="CM11" s="182">
        <v>0</v>
      </c>
      <c r="CN11" s="182">
        <v>17</v>
      </c>
      <c r="CO11" s="182">
        <v>15</v>
      </c>
      <c r="CQ11" s="182"/>
      <c r="CR11" s="182"/>
      <c r="CS11" s="182"/>
      <c r="CT11" s="182"/>
    </row>
    <row r="12" spans="1:98" x14ac:dyDescent="0.2">
      <c r="A12" s="46">
        <f t="shared" si="0"/>
        <v>29</v>
      </c>
      <c r="B12" s="47">
        <f t="shared" si="1"/>
        <v>40375</v>
      </c>
      <c r="C12" s="46" t="s">
        <v>79</v>
      </c>
      <c r="D12" s="47">
        <f t="shared" si="2"/>
        <v>40381</v>
      </c>
      <c r="F12" s="53">
        <v>151</v>
      </c>
      <c r="G12" s="46">
        <v>40</v>
      </c>
      <c r="H12" s="53">
        <v>11</v>
      </c>
      <c r="J12" s="71">
        <v>11</v>
      </c>
      <c r="K12" s="71">
        <v>14</v>
      </c>
      <c r="L12" s="71"/>
      <c r="M12" s="71">
        <v>2</v>
      </c>
      <c r="N12" s="71"/>
      <c r="P12" s="53"/>
      <c r="S12" s="53">
        <v>461</v>
      </c>
      <c r="T12" s="46">
        <v>302</v>
      </c>
      <c r="U12" s="53">
        <v>165</v>
      </c>
      <c r="W12" s="53">
        <v>26</v>
      </c>
      <c r="X12" s="46">
        <v>10</v>
      </c>
      <c r="Y12" s="46">
        <v>5</v>
      </c>
      <c r="AA12" s="46">
        <v>174</v>
      </c>
      <c r="AB12" s="46">
        <v>133</v>
      </c>
      <c r="AC12" s="46">
        <v>29</v>
      </c>
      <c r="AQ12" s="40">
        <v>594</v>
      </c>
      <c r="AR12" s="40">
        <v>190</v>
      </c>
      <c r="AS12" s="40">
        <v>34</v>
      </c>
      <c r="AU12" s="46">
        <v>817</v>
      </c>
      <c r="AV12" s="46">
        <v>166</v>
      </c>
      <c r="AW12" s="46">
        <v>17</v>
      </c>
      <c r="AY12" s="46">
        <v>276</v>
      </c>
      <c r="AZ12" s="46">
        <v>68</v>
      </c>
      <c r="BA12" s="46">
        <v>50</v>
      </c>
      <c r="BC12" s="40">
        <v>4</v>
      </c>
      <c r="BD12" s="46">
        <v>0</v>
      </c>
      <c r="BE12" s="46">
        <v>3</v>
      </c>
      <c r="BK12" s="69">
        <v>831</v>
      </c>
      <c r="BL12" s="70">
        <v>18</v>
      </c>
      <c r="BM12" s="70">
        <v>25</v>
      </c>
      <c r="BO12" s="46">
        <v>64</v>
      </c>
      <c r="BP12" s="46">
        <v>5</v>
      </c>
      <c r="BQ12" s="46">
        <v>13</v>
      </c>
      <c r="BS12" s="40">
        <v>246</v>
      </c>
      <c r="BT12" s="40">
        <v>12</v>
      </c>
      <c r="BU12" s="40">
        <v>45</v>
      </c>
      <c r="BW12" s="68">
        <v>633</v>
      </c>
      <c r="BX12" s="68"/>
      <c r="BY12" s="68">
        <v>46</v>
      </c>
      <c r="BZ12" s="68">
        <v>6</v>
      </c>
      <c r="CB12" s="68">
        <v>2113</v>
      </c>
      <c r="CC12" s="68"/>
      <c r="CD12" s="68">
        <v>68</v>
      </c>
      <c r="CE12" s="68">
        <v>22</v>
      </c>
      <c r="CG12" s="182">
        <v>1189</v>
      </c>
      <c r="CH12" s="182">
        <v>0</v>
      </c>
      <c r="CI12" s="182">
        <v>99</v>
      </c>
      <c r="CJ12" s="182">
        <v>19</v>
      </c>
      <c r="CK12" s="46"/>
      <c r="CL12" s="182">
        <v>79</v>
      </c>
      <c r="CM12" s="182">
        <v>0</v>
      </c>
      <c r="CN12" s="182">
        <v>18</v>
      </c>
      <c r="CO12" s="182">
        <v>17</v>
      </c>
      <c r="CQ12" s="182"/>
      <c r="CR12" s="182"/>
      <c r="CS12" s="182"/>
      <c r="CT12" s="182"/>
    </row>
    <row r="13" spans="1:98" x14ac:dyDescent="0.2">
      <c r="A13" s="46">
        <f t="shared" si="0"/>
        <v>30</v>
      </c>
      <c r="B13" s="47">
        <f t="shared" si="1"/>
        <v>40382</v>
      </c>
      <c r="C13" s="46" t="s">
        <v>79</v>
      </c>
      <c r="D13" s="47">
        <f t="shared" si="2"/>
        <v>40388</v>
      </c>
      <c r="F13" s="53">
        <v>235</v>
      </c>
      <c r="G13" s="46">
        <v>136</v>
      </c>
      <c r="H13" s="53">
        <v>31</v>
      </c>
      <c r="J13" s="71">
        <v>24</v>
      </c>
      <c r="K13" s="71">
        <v>70</v>
      </c>
      <c r="L13" s="71"/>
      <c r="M13" s="71">
        <v>17</v>
      </c>
      <c r="N13" s="71"/>
      <c r="O13" s="46">
        <v>67</v>
      </c>
      <c r="P13" s="46">
        <v>86</v>
      </c>
      <c r="Q13" s="53">
        <v>76</v>
      </c>
      <c r="S13" s="53">
        <v>785</v>
      </c>
      <c r="T13" s="46">
        <v>324</v>
      </c>
      <c r="U13" s="53">
        <v>203</v>
      </c>
      <c r="W13" s="53">
        <v>32</v>
      </c>
      <c r="X13" s="46">
        <v>15</v>
      </c>
      <c r="Y13" s="46">
        <v>9</v>
      </c>
      <c r="AA13" s="46">
        <v>177</v>
      </c>
      <c r="AB13" s="46">
        <v>148</v>
      </c>
      <c r="AC13" s="46">
        <v>33</v>
      </c>
      <c r="AM13" s="40">
        <v>78</v>
      </c>
      <c r="AN13" s="46">
        <v>15</v>
      </c>
      <c r="AO13" s="46">
        <v>1</v>
      </c>
      <c r="AQ13" s="40">
        <v>637</v>
      </c>
      <c r="AR13" s="40">
        <v>206</v>
      </c>
      <c r="AS13" s="40">
        <v>35</v>
      </c>
      <c r="AU13" s="46">
        <v>828</v>
      </c>
      <c r="AV13" s="46">
        <v>175</v>
      </c>
      <c r="AW13" s="46">
        <v>20</v>
      </c>
      <c r="AY13" s="46">
        <v>322</v>
      </c>
      <c r="AZ13" s="46">
        <v>69</v>
      </c>
      <c r="BA13" s="46">
        <v>54</v>
      </c>
      <c r="BC13" s="40">
        <v>17</v>
      </c>
      <c r="BD13" s="46">
        <v>1</v>
      </c>
      <c r="BE13" s="46">
        <v>13</v>
      </c>
      <c r="BG13" s="46">
        <v>9</v>
      </c>
      <c r="BH13" s="46">
        <v>2</v>
      </c>
      <c r="BI13" s="46">
        <v>6</v>
      </c>
      <c r="BK13" s="69">
        <v>832</v>
      </c>
      <c r="BL13" s="72">
        <v>20</v>
      </c>
      <c r="BM13" s="70">
        <v>28</v>
      </c>
      <c r="BO13" s="46">
        <v>114</v>
      </c>
      <c r="BP13" s="46">
        <v>10</v>
      </c>
      <c r="BQ13" s="46">
        <v>46</v>
      </c>
      <c r="BS13" s="40">
        <v>256</v>
      </c>
      <c r="BT13" s="40">
        <v>13</v>
      </c>
      <c r="BU13" s="40">
        <v>51</v>
      </c>
      <c r="BW13" s="68">
        <v>961</v>
      </c>
      <c r="BX13" s="68"/>
      <c r="BY13" s="68">
        <v>59</v>
      </c>
      <c r="BZ13" s="68">
        <v>6</v>
      </c>
      <c r="CB13" s="68">
        <v>2173</v>
      </c>
      <c r="CC13" s="68"/>
      <c r="CD13" s="68">
        <v>79</v>
      </c>
      <c r="CE13" s="68">
        <v>22</v>
      </c>
      <c r="CG13" s="182">
        <v>1230</v>
      </c>
      <c r="CH13" s="182">
        <v>0</v>
      </c>
      <c r="CI13" s="182">
        <v>111</v>
      </c>
      <c r="CJ13" s="182">
        <v>21</v>
      </c>
      <c r="CK13" s="46"/>
      <c r="CL13" s="182">
        <v>80</v>
      </c>
      <c r="CM13" s="182">
        <v>0</v>
      </c>
      <c r="CN13" s="182">
        <v>19</v>
      </c>
      <c r="CO13" s="182">
        <v>19</v>
      </c>
      <c r="CQ13" s="182"/>
      <c r="CR13" s="182"/>
      <c r="CS13" s="182"/>
      <c r="CT13" s="182"/>
    </row>
    <row r="14" spans="1:98" x14ac:dyDescent="0.2">
      <c r="A14" s="46">
        <f t="shared" si="0"/>
        <v>31</v>
      </c>
      <c r="B14" s="47">
        <f t="shared" si="1"/>
        <v>40389</v>
      </c>
      <c r="C14" s="46" t="s">
        <v>79</v>
      </c>
      <c r="D14" s="47">
        <f t="shared" si="2"/>
        <v>40395</v>
      </c>
      <c r="F14" s="53">
        <v>258</v>
      </c>
      <c r="G14" s="46">
        <v>167</v>
      </c>
      <c r="H14" s="53">
        <v>35</v>
      </c>
      <c r="J14" s="71">
        <v>58</v>
      </c>
      <c r="K14" s="71">
        <v>166</v>
      </c>
      <c r="L14" s="71"/>
      <c r="M14" s="71">
        <v>29</v>
      </c>
      <c r="N14" s="71"/>
      <c r="O14" s="46">
        <v>75</v>
      </c>
      <c r="P14" s="46">
        <v>116</v>
      </c>
      <c r="Q14" s="53">
        <v>83</v>
      </c>
      <c r="S14" s="53">
        <v>839</v>
      </c>
      <c r="T14" s="46">
        <v>331</v>
      </c>
      <c r="U14" s="53">
        <v>219</v>
      </c>
      <c r="W14" s="53">
        <v>103</v>
      </c>
      <c r="X14" s="46">
        <v>37</v>
      </c>
      <c r="Y14" s="46">
        <v>17</v>
      </c>
      <c r="AA14" s="46">
        <v>178</v>
      </c>
      <c r="AB14" s="46">
        <v>154</v>
      </c>
      <c r="AC14" s="46">
        <v>35</v>
      </c>
      <c r="AE14" s="46">
        <v>43</v>
      </c>
      <c r="AF14" s="46">
        <v>54</v>
      </c>
      <c r="AG14" s="46">
        <v>1</v>
      </c>
      <c r="AI14" s="46">
        <v>62</v>
      </c>
      <c r="AJ14" s="46">
        <v>33</v>
      </c>
      <c r="AK14" s="46">
        <v>7</v>
      </c>
      <c r="AM14" s="40">
        <f>AM13+38</f>
        <v>116</v>
      </c>
      <c r="AN14" s="46">
        <f>18+AN13</f>
        <v>33</v>
      </c>
      <c r="AO14" s="46">
        <v>3</v>
      </c>
      <c r="AQ14" s="40">
        <v>645</v>
      </c>
      <c r="AR14" s="40">
        <v>216</v>
      </c>
      <c r="AS14" s="40">
        <v>37</v>
      </c>
      <c r="AU14" s="46">
        <v>888</v>
      </c>
      <c r="AV14" s="46">
        <v>177</v>
      </c>
      <c r="AW14" s="46">
        <v>26</v>
      </c>
      <c r="AY14" s="46">
        <v>334</v>
      </c>
      <c r="AZ14" s="46">
        <v>69</v>
      </c>
      <c r="BA14" s="46">
        <v>55</v>
      </c>
      <c r="BC14" s="40">
        <v>33</v>
      </c>
      <c r="BD14" s="46">
        <v>5</v>
      </c>
      <c r="BE14" s="46">
        <v>14</v>
      </c>
      <c r="BG14" s="46">
        <v>43</v>
      </c>
      <c r="BH14" s="46">
        <v>4</v>
      </c>
      <c r="BI14" s="46">
        <v>13</v>
      </c>
      <c r="BK14" s="73" t="s">
        <v>71</v>
      </c>
      <c r="BL14" s="73" t="s">
        <v>71</v>
      </c>
      <c r="BM14" s="73" t="s">
        <v>71</v>
      </c>
      <c r="BO14" s="46">
        <v>167</v>
      </c>
      <c r="BP14" s="46">
        <v>13</v>
      </c>
      <c r="BQ14" s="46">
        <v>67</v>
      </c>
      <c r="BS14" s="40">
        <v>261</v>
      </c>
      <c r="BT14" s="40">
        <v>13</v>
      </c>
      <c r="BU14" s="40">
        <v>52</v>
      </c>
      <c r="BW14" s="68">
        <v>1040</v>
      </c>
      <c r="BX14" s="68"/>
      <c r="BY14" s="68">
        <v>70</v>
      </c>
      <c r="BZ14" s="68">
        <v>6</v>
      </c>
      <c r="CB14" s="68">
        <v>2183</v>
      </c>
      <c r="CC14" s="68"/>
      <c r="CD14" s="68">
        <v>85</v>
      </c>
      <c r="CE14" s="68">
        <v>22</v>
      </c>
      <c r="CG14" s="182">
        <v>1267</v>
      </c>
      <c r="CH14" s="182">
        <v>0</v>
      </c>
      <c r="CI14" s="182">
        <v>114</v>
      </c>
      <c r="CJ14" s="182">
        <v>21</v>
      </c>
      <c r="CK14" s="46"/>
      <c r="CL14" s="182">
        <v>101</v>
      </c>
      <c r="CM14" s="182">
        <v>0</v>
      </c>
      <c r="CN14" s="182">
        <v>21</v>
      </c>
      <c r="CO14" s="182">
        <v>22</v>
      </c>
      <c r="CQ14" s="182"/>
      <c r="CR14" s="182"/>
      <c r="CS14" s="182"/>
      <c r="CT14" s="182"/>
    </row>
    <row r="15" spans="1:98" x14ac:dyDescent="0.2">
      <c r="A15" s="46">
        <f t="shared" si="0"/>
        <v>32</v>
      </c>
      <c r="B15" s="47">
        <f t="shared" si="1"/>
        <v>40396</v>
      </c>
      <c r="C15" s="46" t="s">
        <v>79</v>
      </c>
      <c r="D15" s="47">
        <f t="shared" si="2"/>
        <v>40402</v>
      </c>
      <c r="F15" s="53">
        <v>411</v>
      </c>
      <c r="G15" s="46">
        <v>199</v>
      </c>
      <c r="H15" s="53">
        <v>41</v>
      </c>
      <c r="J15" s="71">
        <v>83</v>
      </c>
      <c r="K15" s="71">
        <v>206</v>
      </c>
      <c r="L15" s="71"/>
      <c r="M15" s="71">
        <v>29</v>
      </c>
      <c r="N15" s="71"/>
      <c r="O15" s="46">
        <v>206</v>
      </c>
      <c r="P15" s="46">
        <v>153</v>
      </c>
      <c r="Q15" s="53">
        <v>87</v>
      </c>
      <c r="S15" s="53">
        <v>854</v>
      </c>
      <c r="T15" s="46">
        <v>333</v>
      </c>
      <c r="U15" s="53">
        <v>224</v>
      </c>
      <c r="W15" s="53">
        <v>123</v>
      </c>
      <c r="X15" s="46">
        <v>63</v>
      </c>
      <c r="Y15" s="46">
        <v>25</v>
      </c>
      <c r="AA15" s="46">
        <v>180</v>
      </c>
      <c r="AB15" s="46">
        <v>155</v>
      </c>
      <c r="AC15" s="46">
        <v>35</v>
      </c>
      <c r="AE15" s="46">
        <v>80</v>
      </c>
      <c r="AF15" s="46">
        <v>103</v>
      </c>
      <c r="AG15" s="46">
        <v>2</v>
      </c>
      <c r="AI15" s="46">
        <v>83</v>
      </c>
      <c r="AJ15" s="46">
        <v>90</v>
      </c>
      <c r="AK15" s="46">
        <v>8</v>
      </c>
      <c r="AM15" s="40">
        <f>71+AM14</f>
        <v>187</v>
      </c>
      <c r="AN15" s="46">
        <f>6+33</f>
        <v>39</v>
      </c>
      <c r="AO15" s="46">
        <v>13</v>
      </c>
      <c r="AQ15" s="40">
        <v>662</v>
      </c>
      <c r="AR15" s="40">
        <v>218</v>
      </c>
      <c r="AS15" s="40">
        <v>40</v>
      </c>
      <c r="AU15" s="46">
        <v>916</v>
      </c>
      <c r="AV15" s="46">
        <v>178</v>
      </c>
      <c r="AW15" s="46">
        <v>27</v>
      </c>
      <c r="AY15" s="46">
        <v>340</v>
      </c>
      <c r="AZ15" s="46">
        <v>69</v>
      </c>
      <c r="BA15" s="46">
        <v>56</v>
      </c>
      <c r="BC15" s="40">
        <v>45</v>
      </c>
      <c r="BD15" s="46">
        <v>8</v>
      </c>
      <c r="BE15" s="46">
        <v>15</v>
      </c>
      <c r="BG15" s="46">
        <v>56</v>
      </c>
      <c r="BH15" s="46">
        <v>4</v>
      </c>
      <c r="BI15" s="46">
        <v>15</v>
      </c>
      <c r="BK15" s="69">
        <v>838</v>
      </c>
      <c r="BL15" s="72">
        <v>20</v>
      </c>
      <c r="BM15" s="70">
        <v>30</v>
      </c>
      <c r="BO15" s="46">
        <v>294</v>
      </c>
      <c r="BP15" s="46">
        <v>18</v>
      </c>
      <c r="BQ15" s="46">
        <v>71</v>
      </c>
      <c r="BS15" s="40">
        <v>303</v>
      </c>
      <c r="BT15" s="40">
        <v>13</v>
      </c>
      <c r="BU15" s="40">
        <v>54</v>
      </c>
      <c r="BW15" s="68">
        <v>1040</v>
      </c>
      <c r="BX15" s="68"/>
      <c r="BY15" s="68">
        <v>70</v>
      </c>
      <c r="BZ15" s="68">
        <v>6</v>
      </c>
      <c r="CB15" s="68">
        <v>2186</v>
      </c>
      <c r="CC15" s="68"/>
      <c r="CD15" s="68">
        <v>88</v>
      </c>
      <c r="CE15" s="68">
        <v>22</v>
      </c>
      <c r="CG15" s="182">
        <v>1324</v>
      </c>
      <c r="CH15" s="182">
        <v>0</v>
      </c>
      <c r="CI15" s="182">
        <v>118</v>
      </c>
      <c r="CJ15" s="182">
        <v>21</v>
      </c>
      <c r="CK15" s="46"/>
      <c r="CL15" s="182">
        <v>116</v>
      </c>
      <c r="CM15" s="182">
        <v>0</v>
      </c>
      <c r="CN15" s="182">
        <v>31</v>
      </c>
      <c r="CO15" s="182">
        <v>22</v>
      </c>
      <c r="CQ15" s="182"/>
      <c r="CR15" s="182"/>
      <c r="CS15" s="182"/>
      <c r="CT15" s="182"/>
    </row>
    <row r="16" spans="1:98" ht="13.5" thickBot="1" x14ac:dyDescent="0.25">
      <c r="A16" s="46">
        <f t="shared" si="0"/>
        <v>33</v>
      </c>
      <c r="B16" s="47">
        <f t="shared" si="1"/>
        <v>40403</v>
      </c>
      <c r="C16" s="46" t="s">
        <v>79</v>
      </c>
      <c r="D16" s="47">
        <f t="shared" si="2"/>
        <v>40409</v>
      </c>
      <c r="F16" s="53">
        <v>465</v>
      </c>
      <c r="G16" s="46">
        <v>212</v>
      </c>
      <c r="H16" s="53">
        <v>47</v>
      </c>
      <c r="J16" s="71">
        <v>89</v>
      </c>
      <c r="K16" s="71">
        <v>214</v>
      </c>
      <c r="L16" s="71"/>
      <c r="M16" s="71">
        <v>30</v>
      </c>
      <c r="N16" s="71"/>
      <c r="O16" s="46">
        <v>296</v>
      </c>
      <c r="P16" s="46">
        <v>167</v>
      </c>
      <c r="Q16" s="53">
        <v>93</v>
      </c>
      <c r="S16" s="53">
        <v>897</v>
      </c>
      <c r="T16" s="46">
        <v>335</v>
      </c>
      <c r="U16" s="53">
        <v>234</v>
      </c>
      <c r="W16" s="53">
        <v>144</v>
      </c>
      <c r="X16" s="46">
        <v>76</v>
      </c>
      <c r="Y16" s="46">
        <v>28</v>
      </c>
      <c r="AA16" s="46">
        <v>203</v>
      </c>
      <c r="AB16" s="46">
        <v>155</v>
      </c>
      <c r="AC16" s="46">
        <v>35</v>
      </c>
      <c r="AE16" s="46">
        <v>111</v>
      </c>
      <c r="AF16" s="46">
        <v>118</v>
      </c>
      <c r="AG16" s="46">
        <v>2</v>
      </c>
      <c r="AI16" s="46">
        <v>108</v>
      </c>
      <c r="AJ16" s="46">
        <v>115</v>
      </c>
      <c r="AK16" s="46">
        <v>9</v>
      </c>
      <c r="AM16" s="74">
        <f>2+AM15</f>
        <v>189</v>
      </c>
      <c r="AN16" s="74">
        <v>41</v>
      </c>
      <c r="AO16" s="74">
        <v>13</v>
      </c>
      <c r="AQ16" s="40">
        <v>694</v>
      </c>
      <c r="AR16" s="40">
        <v>218</v>
      </c>
      <c r="AS16" s="40">
        <v>41</v>
      </c>
      <c r="AU16" s="46">
        <v>993</v>
      </c>
      <c r="AV16" s="46">
        <v>179</v>
      </c>
      <c r="AW16" s="46">
        <v>28</v>
      </c>
      <c r="AY16" s="74">
        <v>343</v>
      </c>
      <c r="AZ16" s="74">
        <v>69</v>
      </c>
      <c r="BA16" s="74">
        <v>56</v>
      </c>
      <c r="BC16" s="40">
        <v>84</v>
      </c>
      <c r="BD16" s="46">
        <v>9</v>
      </c>
      <c r="BE16" s="46">
        <v>21</v>
      </c>
      <c r="BG16" s="46">
        <v>83</v>
      </c>
      <c r="BH16" s="46">
        <v>9</v>
      </c>
      <c r="BI16" s="46">
        <v>20</v>
      </c>
      <c r="BK16" s="69">
        <v>846</v>
      </c>
      <c r="BL16" s="72">
        <v>20</v>
      </c>
      <c r="BM16" s="70">
        <v>36</v>
      </c>
      <c r="BO16" s="46">
        <v>397</v>
      </c>
      <c r="BP16" s="46">
        <v>21</v>
      </c>
      <c r="BQ16" s="46">
        <v>79</v>
      </c>
      <c r="BS16" s="40">
        <v>320</v>
      </c>
      <c r="BT16" s="40">
        <v>13</v>
      </c>
      <c r="BU16" s="40">
        <v>56</v>
      </c>
      <c r="BW16" s="68">
        <v>1040</v>
      </c>
      <c r="BX16" s="68"/>
      <c r="BY16" s="68">
        <v>70</v>
      </c>
      <c r="BZ16" s="68">
        <v>6</v>
      </c>
      <c r="CB16" s="68">
        <v>2325</v>
      </c>
      <c r="CC16" s="68"/>
      <c r="CD16" s="68">
        <v>89</v>
      </c>
      <c r="CE16" s="68">
        <v>22</v>
      </c>
      <c r="CG16" s="182">
        <v>1350</v>
      </c>
      <c r="CH16" s="182">
        <v>0</v>
      </c>
      <c r="CI16" s="182">
        <v>125</v>
      </c>
      <c r="CJ16" s="182">
        <v>21</v>
      </c>
      <c r="CK16" s="46"/>
      <c r="CL16" s="182">
        <v>117</v>
      </c>
      <c r="CM16" s="182">
        <v>0</v>
      </c>
      <c r="CN16" s="182">
        <v>36</v>
      </c>
      <c r="CO16" s="182">
        <v>22</v>
      </c>
      <c r="CQ16" s="182"/>
      <c r="CR16" s="182"/>
      <c r="CS16" s="182"/>
      <c r="CT16" s="182"/>
    </row>
    <row r="17" spans="1:98" x14ac:dyDescent="0.2">
      <c r="A17" s="46">
        <f t="shared" si="0"/>
        <v>34</v>
      </c>
      <c r="B17" s="47">
        <f t="shared" si="1"/>
        <v>40410</v>
      </c>
      <c r="C17" s="46" t="s">
        <v>79</v>
      </c>
      <c r="D17" s="47">
        <f t="shared" si="2"/>
        <v>40416</v>
      </c>
      <c r="F17" s="75" t="s">
        <v>80</v>
      </c>
      <c r="G17" s="75" t="s">
        <v>80</v>
      </c>
      <c r="H17" s="75" t="s">
        <v>80</v>
      </c>
      <c r="J17" s="71">
        <v>154</v>
      </c>
      <c r="K17" s="71">
        <v>221</v>
      </c>
      <c r="L17" s="71"/>
      <c r="M17" s="71">
        <v>38</v>
      </c>
      <c r="N17" s="71"/>
      <c r="O17" s="46">
        <v>326</v>
      </c>
      <c r="P17" s="46">
        <v>170</v>
      </c>
      <c r="Q17" s="53">
        <v>94</v>
      </c>
      <c r="S17" s="53">
        <v>911</v>
      </c>
      <c r="T17" s="46">
        <v>335</v>
      </c>
      <c r="U17" s="53">
        <v>239</v>
      </c>
      <c r="W17" s="53">
        <v>153</v>
      </c>
      <c r="X17" s="46">
        <v>88</v>
      </c>
      <c r="Y17" s="46">
        <v>30</v>
      </c>
      <c r="AA17" s="46">
        <v>206</v>
      </c>
      <c r="AB17" s="46">
        <v>155</v>
      </c>
      <c r="AC17" s="46">
        <v>35</v>
      </c>
      <c r="AE17" s="46">
        <v>126</v>
      </c>
      <c r="AF17" s="46">
        <v>123</v>
      </c>
      <c r="AG17" s="46">
        <v>2</v>
      </c>
      <c r="AI17" s="46">
        <v>144</v>
      </c>
      <c r="AJ17" s="46">
        <v>132</v>
      </c>
      <c r="AK17" s="46">
        <v>13</v>
      </c>
      <c r="AM17" s="76"/>
      <c r="AN17" s="76"/>
      <c r="AO17" s="76"/>
      <c r="AQ17" s="40">
        <v>704</v>
      </c>
      <c r="AR17" s="40">
        <v>219</v>
      </c>
      <c r="AS17" s="40">
        <v>41</v>
      </c>
      <c r="AU17" s="46">
        <v>1012</v>
      </c>
      <c r="AV17" s="46">
        <v>181</v>
      </c>
      <c r="AW17" s="46">
        <v>29</v>
      </c>
      <c r="AY17" s="46"/>
      <c r="AZ17" s="46"/>
      <c r="BA17" s="46"/>
      <c r="BC17" s="40">
        <v>92</v>
      </c>
      <c r="BD17" s="46">
        <v>9</v>
      </c>
      <c r="BE17" s="46">
        <v>25</v>
      </c>
      <c r="BG17" s="46">
        <v>90</v>
      </c>
      <c r="BH17" s="46">
        <v>9</v>
      </c>
      <c r="BI17" s="46">
        <v>23</v>
      </c>
      <c r="BK17" s="69">
        <v>855</v>
      </c>
      <c r="BL17" s="72">
        <v>20</v>
      </c>
      <c r="BM17" s="70">
        <v>37</v>
      </c>
      <c r="BO17" s="46">
        <v>441</v>
      </c>
      <c r="BP17" s="46">
        <v>21</v>
      </c>
      <c r="BQ17" s="46">
        <v>88</v>
      </c>
      <c r="BS17" s="40">
        <v>332</v>
      </c>
      <c r="BT17" s="40">
        <v>13</v>
      </c>
      <c r="BU17" s="40">
        <v>58</v>
      </c>
      <c r="BW17" s="68">
        <v>1040</v>
      </c>
      <c r="BX17" s="68"/>
      <c r="BY17" s="68">
        <v>70</v>
      </c>
      <c r="BZ17" s="68">
        <v>6</v>
      </c>
      <c r="CB17" s="68">
        <v>2398</v>
      </c>
      <c r="CC17" s="68"/>
      <c r="CD17" s="68">
        <v>94</v>
      </c>
      <c r="CE17" s="68">
        <v>22</v>
      </c>
      <c r="CG17" s="182">
        <v>1351</v>
      </c>
      <c r="CH17" s="182">
        <v>0</v>
      </c>
      <c r="CI17" s="182">
        <v>129</v>
      </c>
      <c r="CJ17" s="182">
        <v>21</v>
      </c>
      <c r="CK17" s="46"/>
      <c r="CL17" s="182">
        <v>117</v>
      </c>
      <c r="CM17" s="182">
        <v>0</v>
      </c>
      <c r="CN17" s="182">
        <v>37</v>
      </c>
      <c r="CO17" s="182">
        <v>24</v>
      </c>
      <c r="CQ17" s="182"/>
      <c r="CR17" s="182"/>
      <c r="CS17" s="182"/>
      <c r="CT17" s="182"/>
    </row>
    <row r="18" spans="1:98" x14ac:dyDescent="0.2">
      <c r="A18" s="46">
        <f t="shared" si="0"/>
        <v>35</v>
      </c>
      <c r="B18" s="47">
        <f t="shared" si="1"/>
        <v>40417</v>
      </c>
      <c r="C18" s="46" t="s">
        <v>79</v>
      </c>
      <c r="D18" s="47">
        <f t="shared" si="2"/>
        <v>40423</v>
      </c>
      <c r="F18" s="75" t="s">
        <v>80</v>
      </c>
      <c r="G18" s="75" t="s">
        <v>80</v>
      </c>
      <c r="H18" s="75" t="s">
        <v>80</v>
      </c>
      <c r="J18" s="71">
        <v>160</v>
      </c>
      <c r="K18" s="71">
        <v>223</v>
      </c>
      <c r="L18" s="71"/>
      <c r="M18" s="71">
        <v>46</v>
      </c>
      <c r="N18" s="71"/>
      <c r="O18" s="46">
        <v>341</v>
      </c>
      <c r="P18" s="46">
        <v>171</v>
      </c>
      <c r="Q18" s="53">
        <v>97</v>
      </c>
      <c r="S18" s="53">
        <v>915</v>
      </c>
      <c r="T18" s="46">
        <v>335</v>
      </c>
      <c r="U18" s="53">
        <v>252</v>
      </c>
      <c r="W18" s="53">
        <v>156</v>
      </c>
      <c r="X18" s="46">
        <v>92</v>
      </c>
      <c r="Y18" s="46">
        <v>32</v>
      </c>
      <c r="AA18" s="46">
        <v>208</v>
      </c>
      <c r="AB18" s="46">
        <v>157</v>
      </c>
      <c r="AC18" s="46">
        <v>38</v>
      </c>
      <c r="AE18" s="46">
        <v>134</v>
      </c>
      <c r="AF18" s="46">
        <v>126</v>
      </c>
      <c r="AG18" s="46">
        <v>2</v>
      </c>
      <c r="AI18" s="46">
        <v>147</v>
      </c>
      <c r="AJ18" s="46">
        <v>134</v>
      </c>
      <c r="AK18" s="46">
        <v>19</v>
      </c>
      <c r="AM18" s="36"/>
      <c r="AN18" s="46"/>
      <c r="AQ18" s="40">
        <v>704</v>
      </c>
      <c r="AR18" s="40">
        <v>219</v>
      </c>
      <c r="AS18" s="40">
        <v>41</v>
      </c>
      <c r="AU18" s="46">
        <v>1012</v>
      </c>
      <c r="AV18" s="46">
        <v>181</v>
      </c>
      <c r="AW18" s="46">
        <v>29</v>
      </c>
      <c r="AY18" s="273" t="s">
        <v>81</v>
      </c>
      <c r="AZ18" s="273"/>
      <c r="BA18" s="273"/>
      <c r="BC18" s="40">
        <v>94</v>
      </c>
      <c r="BD18" s="46">
        <v>9</v>
      </c>
      <c r="BE18" s="46">
        <v>39</v>
      </c>
      <c r="BG18" s="46">
        <v>120</v>
      </c>
      <c r="BH18" s="46">
        <v>9</v>
      </c>
      <c r="BI18" s="46">
        <v>34</v>
      </c>
      <c r="BK18" s="69">
        <v>876</v>
      </c>
      <c r="BL18" s="72">
        <v>20</v>
      </c>
      <c r="BM18" s="70">
        <v>40</v>
      </c>
      <c r="BO18" s="46">
        <v>458</v>
      </c>
      <c r="BP18" s="46">
        <v>22</v>
      </c>
      <c r="BQ18" s="46">
        <v>92</v>
      </c>
      <c r="BS18" s="40">
        <v>345</v>
      </c>
      <c r="BT18" s="40">
        <v>13</v>
      </c>
      <c r="BU18" s="40">
        <v>58</v>
      </c>
      <c r="BW18" s="68">
        <v>1070</v>
      </c>
      <c r="BX18" s="68"/>
      <c r="BY18" s="68">
        <v>74</v>
      </c>
      <c r="BZ18" s="68">
        <v>6</v>
      </c>
      <c r="CB18" s="68">
        <v>2398</v>
      </c>
      <c r="CC18" s="68"/>
      <c r="CD18" s="68">
        <v>105</v>
      </c>
      <c r="CE18" s="68">
        <v>22</v>
      </c>
      <c r="CG18" s="182">
        <v>1377</v>
      </c>
      <c r="CH18" s="182">
        <v>0</v>
      </c>
      <c r="CI18" s="182">
        <v>132</v>
      </c>
      <c r="CJ18" s="182">
        <v>21</v>
      </c>
      <c r="CK18" s="46"/>
      <c r="CL18" s="182">
        <v>120</v>
      </c>
      <c r="CM18" s="182">
        <v>0</v>
      </c>
      <c r="CN18" s="182">
        <v>43</v>
      </c>
      <c r="CO18" s="182">
        <v>24</v>
      </c>
      <c r="CQ18" s="182"/>
      <c r="CR18" s="182"/>
      <c r="CS18" s="182"/>
      <c r="CT18" s="182"/>
    </row>
    <row r="19" spans="1:98" x14ac:dyDescent="0.2">
      <c r="A19" s="46">
        <f t="shared" si="0"/>
        <v>36</v>
      </c>
      <c r="B19" s="47">
        <f t="shared" si="1"/>
        <v>40424</v>
      </c>
      <c r="C19" s="46" t="s">
        <v>79</v>
      </c>
      <c r="D19" s="47">
        <f t="shared" si="2"/>
        <v>40430</v>
      </c>
      <c r="F19" s="75" t="s">
        <v>80</v>
      </c>
      <c r="G19" s="75" t="s">
        <v>80</v>
      </c>
      <c r="H19" s="75" t="s">
        <v>80</v>
      </c>
      <c r="J19" s="71">
        <v>186</v>
      </c>
      <c r="K19" s="71">
        <v>223</v>
      </c>
      <c r="L19" s="71"/>
      <c r="M19" s="71">
        <v>53</v>
      </c>
      <c r="O19" s="46">
        <v>352</v>
      </c>
      <c r="P19" s="46">
        <v>177</v>
      </c>
      <c r="Q19" s="46">
        <v>99</v>
      </c>
      <c r="S19" s="53">
        <v>923</v>
      </c>
      <c r="T19" s="46">
        <v>336</v>
      </c>
      <c r="U19" s="53">
        <v>259</v>
      </c>
      <c r="W19" s="53">
        <v>165</v>
      </c>
      <c r="X19" s="46">
        <v>95</v>
      </c>
      <c r="Y19" s="46">
        <v>35</v>
      </c>
      <c r="AA19" s="46">
        <v>225</v>
      </c>
      <c r="AB19" s="46">
        <v>158</v>
      </c>
      <c r="AC19" s="46">
        <v>40</v>
      </c>
      <c r="AE19" s="46">
        <v>143</v>
      </c>
      <c r="AF19" s="46">
        <v>127</v>
      </c>
      <c r="AG19" s="46">
        <v>2</v>
      </c>
      <c r="AI19" s="46">
        <v>152</v>
      </c>
      <c r="AJ19" s="46">
        <v>137</v>
      </c>
      <c r="AK19" s="46">
        <v>55</v>
      </c>
      <c r="AM19" s="36"/>
      <c r="AN19" s="46"/>
      <c r="AQ19" s="40">
        <v>704</v>
      </c>
      <c r="AR19" s="40">
        <v>221</v>
      </c>
      <c r="AS19" s="40">
        <v>45</v>
      </c>
      <c r="AU19" s="46">
        <v>1018</v>
      </c>
      <c r="AV19" s="46">
        <v>184</v>
      </c>
      <c r="AW19" s="46">
        <v>30</v>
      </c>
      <c r="AY19" s="273" t="s">
        <v>82</v>
      </c>
      <c r="AZ19" s="273"/>
      <c r="BA19" s="273"/>
      <c r="BC19" s="40">
        <v>95</v>
      </c>
      <c r="BD19" s="46">
        <v>9</v>
      </c>
      <c r="BE19" s="46">
        <v>41</v>
      </c>
      <c r="BG19" s="46">
        <v>125</v>
      </c>
      <c r="BH19" s="46">
        <v>9</v>
      </c>
      <c r="BI19" s="46">
        <v>37</v>
      </c>
      <c r="BK19" s="69">
        <v>886</v>
      </c>
      <c r="BL19" s="72">
        <v>20</v>
      </c>
      <c r="BM19" s="70">
        <v>40</v>
      </c>
      <c r="BO19" s="46">
        <v>459</v>
      </c>
      <c r="BP19" s="46">
        <v>22</v>
      </c>
      <c r="BQ19" s="46">
        <v>93</v>
      </c>
      <c r="BS19" s="40">
        <v>350</v>
      </c>
      <c r="BT19" s="40">
        <v>13</v>
      </c>
      <c r="BU19" s="40">
        <v>58</v>
      </c>
      <c r="BW19" s="68">
        <v>1070</v>
      </c>
      <c r="BX19" s="68"/>
      <c r="BY19" s="68">
        <v>74</v>
      </c>
      <c r="BZ19" s="68">
        <v>6</v>
      </c>
      <c r="CB19" s="68">
        <v>2406</v>
      </c>
      <c r="CC19" s="68"/>
      <c r="CD19" s="68">
        <v>110</v>
      </c>
      <c r="CE19" s="68">
        <v>22</v>
      </c>
      <c r="CG19" s="182">
        <v>1423</v>
      </c>
      <c r="CH19" s="182">
        <v>0</v>
      </c>
      <c r="CI19" s="182">
        <v>134</v>
      </c>
      <c r="CJ19" s="182">
        <v>21</v>
      </c>
      <c r="CK19" s="46"/>
      <c r="CL19" s="182">
        <v>131</v>
      </c>
      <c r="CM19" s="182">
        <v>0</v>
      </c>
      <c r="CN19" s="182">
        <v>44</v>
      </c>
      <c r="CO19" s="182">
        <v>25</v>
      </c>
      <c r="CQ19" s="182"/>
      <c r="CR19" s="182"/>
      <c r="CS19" s="182"/>
      <c r="CT19" s="182"/>
    </row>
    <row r="20" spans="1:98" ht="13.5" thickBot="1" x14ac:dyDescent="0.25">
      <c r="A20" s="46">
        <f t="shared" si="0"/>
        <v>37</v>
      </c>
      <c r="B20" s="47">
        <f>B19+7</f>
        <v>40431</v>
      </c>
      <c r="C20" s="46" t="s">
        <v>79</v>
      </c>
      <c r="D20" s="47">
        <f>D19+7</f>
        <v>40437</v>
      </c>
      <c r="F20" s="46">
        <v>517</v>
      </c>
      <c r="G20" s="46">
        <v>215</v>
      </c>
      <c r="H20" s="46">
        <v>58</v>
      </c>
      <c r="J20" s="71">
        <v>205</v>
      </c>
      <c r="K20" s="71">
        <v>224</v>
      </c>
      <c r="L20" s="71"/>
      <c r="M20" s="71">
        <v>55</v>
      </c>
      <c r="N20" s="71"/>
      <c r="O20" s="46">
        <v>362</v>
      </c>
      <c r="P20" s="46">
        <v>177</v>
      </c>
      <c r="Q20" s="46">
        <v>101</v>
      </c>
      <c r="S20" s="46">
        <v>928</v>
      </c>
      <c r="T20" s="46">
        <v>337</v>
      </c>
      <c r="U20" s="46">
        <v>265</v>
      </c>
      <c r="W20" s="46">
        <v>179</v>
      </c>
      <c r="X20" s="46">
        <v>96</v>
      </c>
      <c r="Y20" s="46">
        <v>37</v>
      </c>
      <c r="AA20" s="46">
        <v>236</v>
      </c>
      <c r="AB20" s="46">
        <v>162</v>
      </c>
      <c r="AC20" s="46">
        <v>45</v>
      </c>
      <c r="AE20" s="46">
        <v>167</v>
      </c>
      <c r="AF20" s="46">
        <v>131</v>
      </c>
      <c r="AG20" s="46">
        <v>2</v>
      </c>
      <c r="AI20" s="46">
        <v>199</v>
      </c>
      <c r="AJ20" s="46">
        <v>142</v>
      </c>
      <c r="AK20" s="46">
        <v>55</v>
      </c>
      <c r="AM20" s="36"/>
      <c r="AN20" s="46"/>
      <c r="AQ20" s="40">
        <v>719</v>
      </c>
      <c r="AR20" s="40">
        <v>222</v>
      </c>
      <c r="AS20" s="40">
        <v>48</v>
      </c>
      <c r="AU20" s="74">
        <v>1018</v>
      </c>
      <c r="AV20" s="74">
        <v>185</v>
      </c>
      <c r="AW20" s="74">
        <v>33</v>
      </c>
      <c r="AY20" s="273" t="s">
        <v>83</v>
      </c>
      <c r="AZ20" s="273"/>
      <c r="BA20" s="273"/>
      <c r="BC20" s="40">
        <v>100</v>
      </c>
      <c r="BD20" s="46">
        <v>9</v>
      </c>
      <c r="BE20" s="46">
        <v>44</v>
      </c>
      <c r="BG20" s="46">
        <v>139</v>
      </c>
      <c r="BH20" s="46">
        <v>9</v>
      </c>
      <c r="BI20" s="46">
        <v>40</v>
      </c>
      <c r="BK20" s="69">
        <v>905</v>
      </c>
      <c r="BL20" s="72">
        <v>20</v>
      </c>
      <c r="BM20" s="70">
        <v>45</v>
      </c>
      <c r="BO20" s="46">
        <v>477</v>
      </c>
      <c r="BP20" s="46">
        <v>23</v>
      </c>
      <c r="BQ20" s="46">
        <v>101</v>
      </c>
      <c r="BS20" s="40">
        <v>351</v>
      </c>
      <c r="BT20" s="40">
        <v>13</v>
      </c>
      <c r="BU20" s="40">
        <v>58</v>
      </c>
      <c r="BW20" s="68">
        <v>1070</v>
      </c>
      <c r="BX20" s="68"/>
      <c r="BY20" s="68">
        <v>74</v>
      </c>
      <c r="BZ20" s="68">
        <v>6</v>
      </c>
      <c r="CB20" s="68">
        <v>2415</v>
      </c>
      <c r="CC20" s="68"/>
      <c r="CD20" s="68">
        <v>113</v>
      </c>
      <c r="CE20" s="68">
        <v>22</v>
      </c>
      <c r="CG20" s="182">
        <v>1476</v>
      </c>
      <c r="CH20" s="182">
        <v>0</v>
      </c>
      <c r="CI20" s="182">
        <v>137</v>
      </c>
      <c r="CJ20" s="182">
        <v>21</v>
      </c>
      <c r="CK20" s="46"/>
      <c r="CL20" s="182">
        <v>137</v>
      </c>
      <c r="CM20" s="182">
        <v>0</v>
      </c>
      <c r="CN20" s="182">
        <v>55</v>
      </c>
      <c r="CO20" s="182">
        <v>25</v>
      </c>
      <c r="CQ20" s="182"/>
      <c r="CR20" s="182"/>
      <c r="CS20" s="182"/>
      <c r="CT20" s="182"/>
    </row>
    <row r="21" spans="1:98" x14ac:dyDescent="0.2">
      <c r="A21" s="46">
        <f t="shared" si="0"/>
        <v>38</v>
      </c>
      <c r="B21" s="47">
        <f>B20+7</f>
        <v>40438</v>
      </c>
      <c r="C21" s="46" t="s">
        <v>79</v>
      </c>
      <c r="D21" s="47">
        <f>D20+7</f>
        <v>40444</v>
      </c>
      <c r="F21" s="46">
        <v>588</v>
      </c>
      <c r="G21" s="46">
        <v>223</v>
      </c>
      <c r="H21" s="46">
        <v>78</v>
      </c>
      <c r="J21" s="71">
        <v>311</v>
      </c>
      <c r="K21" s="71">
        <v>225</v>
      </c>
      <c r="L21" s="71"/>
      <c r="M21" s="71">
        <v>63</v>
      </c>
      <c r="N21" s="71"/>
      <c r="O21" s="46">
        <v>382</v>
      </c>
      <c r="P21" s="46">
        <v>179</v>
      </c>
      <c r="Q21" s="46">
        <v>121</v>
      </c>
      <c r="S21" s="46">
        <v>939</v>
      </c>
      <c r="T21" s="46">
        <v>337</v>
      </c>
      <c r="U21" s="46">
        <v>274</v>
      </c>
      <c r="W21" s="46">
        <v>201</v>
      </c>
      <c r="X21" s="46">
        <v>99</v>
      </c>
      <c r="Y21" s="46">
        <v>41</v>
      </c>
      <c r="AA21" s="46">
        <v>246</v>
      </c>
      <c r="AB21" s="46">
        <v>165</v>
      </c>
      <c r="AC21" s="46">
        <v>48</v>
      </c>
      <c r="AE21" s="46">
        <v>187</v>
      </c>
      <c r="AF21" s="46">
        <v>134</v>
      </c>
      <c r="AG21" s="46">
        <v>4</v>
      </c>
      <c r="AI21" s="39">
        <v>247</v>
      </c>
      <c r="AJ21" s="39">
        <v>147</v>
      </c>
      <c r="AK21" s="39">
        <v>55</v>
      </c>
      <c r="AM21" s="36"/>
      <c r="AN21" s="46"/>
      <c r="AQ21" s="40">
        <v>765</v>
      </c>
      <c r="AR21" s="40">
        <v>223</v>
      </c>
      <c r="AS21" s="40">
        <v>62</v>
      </c>
      <c r="AU21" s="77"/>
      <c r="AV21" s="77"/>
      <c r="AW21" s="77"/>
      <c r="AX21" s="78"/>
      <c r="AY21" s="273" t="s">
        <v>84</v>
      </c>
      <c r="AZ21" s="273"/>
      <c r="BA21" s="273"/>
      <c r="BC21" s="40">
        <v>109</v>
      </c>
      <c r="BD21" s="46">
        <v>9</v>
      </c>
      <c r="BE21" s="46">
        <v>55</v>
      </c>
      <c r="BG21" s="46">
        <v>159</v>
      </c>
      <c r="BH21" s="46">
        <v>9</v>
      </c>
      <c r="BI21" s="46">
        <v>46</v>
      </c>
      <c r="BK21" s="69">
        <v>948</v>
      </c>
      <c r="BL21" s="72">
        <v>20</v>
      </c>
      <c r="BM21" s="70">
        <v>56</v>
      </c>
      <c r="BO21" s="46">
        <v>502</v>
      </c>
      <c r="BP21" s="46">
        <v>23</v>
      </c>
      <c r="BQ21" s="46">
        <v>109</v>
      </c>
      <c r="BS21" s="40">
        <v>357</v>
      </c>
      <c r="BT21" s="40">
        <v>13</v>
      </c>
      <c r="BU21" s="40">
        <v>63</v>
      </c>
      <c r="BW21" s="68">
        <v>1132</v>
      </c>
      <c r="BX21" s="68"/>
      <c r="BY21" s="68">
        <v>77</v>
      </c>
      <c r="BZ21" s="68">
        <v>6</v>
      </c>
      <c r="CB21" s="68">
        <v>2433</v>
      </c>
      <c r="CC21" s="68"/>
      <c r="CD21" s="68">
        <v>116</v>
      </c>
      <c r="CE21" s="68">
        <v>22</v>
      </c>
      <c r="CG21" s="182">
        <v>1576</v>
      </c>
      <c r="CH21" s="182">
        <v>0</v>
      </c>
      <c r="CI21" s="182">
        <v>146</v>
      </c>
      <c r="CJ21" s="182">
        <v>21</v>
      </c>
      <c r="CK21" s="46"/>
      <c r="CL21" s="182">
        <v>168</v>
      </c>
      <c r="CM21" s="182">
        <v>0</v>
      </c>
      <c r="CN21" s="182">
        <v>70</v>
      </c>
      <c r="CO21" s="182">
        <v>25</v>
      </c>
      <c r="CQ21" s="182"/>
      <c r="CR21" s="182"/>
      <c r="CS21" s="182"/>
      <c r="CT21" s="182"/>
    </row>
    <row r="22" spans="1:98" ht="13.5" thickBot="1" x14ac:dyDescent="0.25">
      <c r="A22" s="46">
        <f t="shared" si="0"/>
        <v>39</v>
      </c>
      <c r="B22" s="47">
        <f>B21+7</f>
        <v>40445</v>
      </c>
      <c r="C22" s="46" t="s">
        <v>79</v>
      </c>
      <c r="D22" s="47">
        <f>D21+7</f>
        <v>40451</v>
      </c>
      <c r="F22" s="46">
        <v>711</v>
      </c>
      <c r="G22" s="46">
        <v>229</v>
      </c>
      <c r="H22" s="46">
        <v>96</v>
      </c>
      <c r="J22" s="71">
        <v>373</v>
      </c>
      <c r="K22" s="71">
        <v>238</v>
      </c>
      <c r="L22" s="71">
        <v>5</v>
      </c>
      <c r="M22" s="71">
        <v>92</v>
      </c>
      <c r="N22" s="71"/>
      <c r="O22" s="39">
        <v>401</v>
      </c>
      <c r="P22" s="39">
        <v>184</v>
      </c>
      <c r="Q22" s="39">
        <v>174</v>
      </c>
      <c r="S22" s="39">
        <v>958</v>
      </c>
      <c r="T22" s="39">
        <v>338</v>
      </c>
      <c r="U22" s="39">
        <v>283</v>
      </c>
      <c r="W22" s="39">
        <v>206</v>
      </c>
      <c r="X22" s="39">
        <v>101</v>
      </c>
      <c r="Y22" s="39">
        <v>41</v>
      </c>
      <c r="AA22" s="39">
        <v>268</v>
      </c>
      <c r="AB22" s="39">
        <v>168</v>
      </c>
      <c r="AC22" s="39">
        <v>56</v>
      </c>
      <c r="AE22" s="39">
        <v>222</v>
      </c>
      <c r="AF22" s="39">
        <v>144</v>
      </c>
      <c r="AG22" s="39">
        <v>11</v>
      </c>
      <c r="AL22" s="33"/>
      <c r="AM22" s="36"/>
      <c r="AN22" s="36"/>
      <c r="AO22" s="36"/>
      <c r="AQ22" s="40">
        <v>826</v>
      </c>
      <c r="AR22" s="40">
        <v>232</v>
      </c>
      <c r="AS22" s="40">
        <v>84</v>
      </c>
      <c r="BC22" s="74">
        <v>154</v>
      </c>
      <c r="BD22" s="74">
        <v>10</v>
      </c>
      <c r="BE22" s="74">
        <v>67</v>
      </c>
      <c r="BG22" s="46">
        <v>187</v>
      </c>
      <c r="BH22" s="46">
        <v>9</v>
      </c>
      <c r="BI22" s="46">
        <v>47</v>
      </c>
      <c r="BK22" s="69">
        <v>1045</v>
      </c>
      <c r="BL22" s="72">
        <v>20</v>
      </c>
      <c r="BM22" s="70">
        <v>61</v>
      </c>
      <c r="BO22" s="46">
        <v>541</v>
      </c>
      <c r="BP22" s="46">
        <v>23</v>
      </c>
      <c r="BQ22" s="46">
        <v>120</v>
      </c>
      <c r="BS22" s="40">
        <v>407</v>
      </c>
      <c r="BT22" s="40">
        <v>14</v>
      </c>
      <c r="BU22" s="40">
        <v>76</v>
      </c>
      <c r="BW22" s="68">
        <v>1269</v>
      </c>
      <c r="BX22" s="68"/>
      <c r="BY22" s="68">
        <v>84</v>
      </c>
      <c r="BZ22" s="68">
        <v>6</v>
      </c>
      <c r="CB22" s="68">
        <v>2506</v>
      </c>
      <c r="CC22" s="68">
        <v>7</v>
      </c>
      <c r="CD22" s="68">
        <v>139</v>
      </c>
      <c r="CE22" s="68">
        <v>22</v>
      </c>
      <c r="CG22" s="182">
        <v>1707</v>
      </c>
      <c r="CH22" s="182">
        <v>2</v>
      </c>
      <c r="CI22" s="182">
        <v>164</v>
      </c>
      <c r="CJ22" s="182">
        <v>21</v>
      </c>
      <c r="CK22" s="46"/>
      <c r="CL22" s="182">
        <v>194</v>
      </c>
      <c r="CM22" s="182">
        <v>0</v>
      </c>
      <c r="CN22" s="182">
        <v>116</v>
      </c>
      <c r="CO22" s="182">
        <v>26</v>
      </c>
      <c r="CQ22" s="182"/>
      <c r="CR22" s="182"/>
      <c r="CS22" s="182"/>
      <c r="CT22" s="182"/>
    </row>
    <row r="23" spans="1:98" ht="13.5" thickBot="1" x14ac:dyDescent="0.25">
      <c r="A23" s="46">
        <f t="shared" si="0"/>
        <v>40</v>
      </c>
      <c r="B23" s="47">
        <f>B22+7</f>
        <v>40452</v>
      </c>
      <c r="C23" s="46" t="s">
        <v>79</v>
      </c>
      <c r="D23" s="47">
        <f>D22+7</f>
        <v>40458</v>
      </c>
      <c r="F23" s="39">
        <v>897</v>
      </c>
      <c r="G23" s="39">
        <v>254</v>
      </c>
      <c r="H23" s="39">
        <v>176</v>
      </c>
      <c r="J23" s="71">
        <v>449</v>
      </c>
      <c r="K23" s="71">
        <v>254</v>
      </c>
      <c r="L23" s="71">
        <v>33</v>
      </c>
      <c r="M23" s="71">
        <v>179</v>
      </c>
      <c r="N23" s="71"/>
      <c r="P23" s="53"/>
      <c r="AI23" s="53"/>
      <c r="AJ23" s="53"/>
      <c r="AK23" s="53"/>
      <c r="AQ23" s="39">
        <v>833</v>
      </c>
      <c r="AR23" s="39">
        <v>232</v>
      </c>
      <c r="AS23" s="39">
        <v>84</v>
      </c>
      <c r="BC23" s="36"/>
      <c r="BD23" s="36"/>
      <c r="BE23" s="36"/>
      <c r="BG23" s="74">
        <v>208</v>
      </c>
      <c r="BH23" s="74">
        <v>9</v>
      </c>
      <c r="BI23" s="74">
        <v>52</v>
      </c>
      <c r="BK23" s="79">
        <v>1078</v>
      </c>
      <c r="BL23" s="80">
        <v>20</v>
      </c>
      <c r="BM23" s="80">
        <v>66</v>
      </c>
      <c r="BO23" s="74">
        <v>546</v>
      </c>
      <c r="BP23" s="74">
        <v>23</v>
      </c>
      <c r="BQ23" s="74">
        <v>121</v>
      </c>
      <c r="BS23" s="74">
        <v>411</v>
      </c>
      <c r="BT23" s="74">
        <v>14</v>
      </c>
      <c r="BU23" s="74">
        <v>78</v>
      </c>
      <c r="BW23" s="68">
        <v>1524</v>
      </c>
      <c r="BX23" s="68">
        <v>13</v>
      </c>
      <c r="BY23" s="68">
        <v>111</v>
      </c>
      <c r="BZ23" s="68">
        <v>6</v>
      </c>
      <c r="CB23" s="68">
        <v>2705</v>
      </c>
      <c r="CC23" s="68">
        <v>14</v>
      </c>
      <c r="CD23" s="68">
        <v>149</v>
      </c>
      <c r="CE23" s="68">
        <v>22</v>
      </c>
      <c r="CG23" s="182">
        <v>1852</v>
      </c>
      <c r="CH23" s="182">
        <v>7</v>
      </c>
      <c r="CI23" s="182">
        <v>195</v>
      </c>
      <c r="CJ23" s="182">
        <v>21</v>
      </c>
      <c r="CK23" s="46"/>
      <c r="CL23" s="182">
        <v>214</v>
      </c>
      <c r="CM23" s="182">
        <v>0</v>
      </c>
      <c r="CN23" s="182">
        <v>164</v>
      </c>
      <c r="CO23" s="182">
        <v>32</v>
      </c>
      <c r="CQ23" s="182"/>
      <c r="CR23" s="182"/>
      <c r="CS23" s="182"/>
      <c r="CT23" s="182"/>
    </row>
    <row r="24" spans="1:98" x14ac:dyDescent="0.2">
      <c r="A24" s="46">
        <f t="shared" si="0"/>
        <v>41</v>
      </c>
      <c r="B24" s="47">
        <f t="shared" ref="B24:B34" si="3">B23+7</f>
        <v>40459</v>
      </c>
      <c r="C24" s="46" t="s">
        <v>79</v>
      </c>
      <c r="D24" s="47">
        <f t="shared" ref="D24:D34" si="4">D23+7</f>
        <v>40465</v>
      </c>
      <c r="J24" s="71">
        <v>532</v>
      </c>
      <c r="K24" s="71">
        <v>268</v>
      </c>
      <c r="L24" s="71">
        <v>126</v>
      </c>
      <c r="M24" s="71">
        <v>286</v>
      </c>
      <c r="N24" s="71"/>
      <c r="P24" s="53"/>
      <c r="AE24" s="53"/>
      <c r="AF24" s="53"/>
      <c r="AG24" s="53"/>
      <c r="AI24" s="53"/>
      <c r="AJ24" s="53"/>
      <c r="AK24" s="53"/>
      <c r="AL24" s="53"/>
      <c r="AQ24" s="36"/>
      <c r="AR24" s="36"/>
      <c r="AS24" s="36"/>
      <c r="BW24" s="68">
        <v>1624</v>
      </c>
      <c r="BX24" s="68">
        <v>15</v>
      </c>
      <c r="BY24" s="68">
        <v>113</v>
      </c>
      <c r="BZ24" s="68">
        <v>7</v>
      </c>
      <c r="CB24" s="68">
        <v>2867</v>
      </c>
      <c r="CC24" s="68">
        <v>22</v>
      </c>
      <c r="CD24" s="68">
        <v>155</v>
      </c>
      <c r="CE24" s="68">
        <v>22</v>
      </c>
      <c r="CG24" s="182">
        <v>1902</v>
      </c>
      <c r="CH24" s="182">
        <v>18</v>
      </c>
      <c r="CI24" s="182">
        <v>238</v>
      </c>
      <c r="CJ24" s="182">
        <v>21</v>
      </c>
      <c r="CK24" s="46"/>
      <c r="CL24" s="182">
        <v>233</v>
      </c>
      <c r="CM24" s="182">
        <v>0</v>
      </c>
      <c r="CN24" s="182">
        <v>195</v>
      </c>
      <c r="CO24" s="182">
        <v>32</v>
      </c>
      <c r="CQ24" s="182"/>
      <c r="CR24" s="182"/>
      <c r="CS24" s="182"/>
      <c r="CT24" s="182"/>
    </row>
    <row r="25" spans="1:98" x14ac:dyDescent="0.2">
      <c r="A25" s="46">
        <f t="shared" si="0"/>
        <v>42</v>
      </c>
      <c r="B25" s="47">
        <f t="shared" si="3"/>
        <v>40466</v>
      </c>
      <c r="C25" s="46" t="s">
        <v>79</v>
      </c>
      <c r="D25" s="47">
        <f t="shared" si="4"/>
        <v>40472</v>
      </c>
      <c r="J25" s="71">
        <v>679</v>
      </c>
      <c r="K25" s="71">
        <v>305</v>
      </c>
      <c r="L25" s="71">
        <v>294</v>
      </c>
      <c r="M25" s="71">
        <v>361</v>
      </c>
      <c r="N25" s="71"/>
      <c r="P25" s="53"/>
      <c r="AE25" s="53"/>
      <c r="AF25" s="53"/>
      <c r="AG25" s="53"/>
      <c r="AL25" s="53"/>
      <c r="BW25" s="68">
        <v>1753</v>
      </c>
      <c r="BX25" s="68">
        <v>22</v>
      </c>
      <c r="BY25" s="68">
        <v>120</v>
      </c>
      <c r="BZ25" s="68">
        <v>11</v>
      </c>
      <c r="CB25" s="68">
        <v>3035</v>
      </c>
      <c r="CC25" s="68">
        <v>36</v>
      </c>
      <c r="CD25" s="68">
        <v>162</v>
      </c>
      <c r="CE25" s="68">
        <v>22</v>
      </c>
      <c r="CG25" s="182">
        <v>2313</v>
      </c>
      <c r="CH25" s="182">
        <v>44</v>
      </c>
      <c r="CI25" s="182">
        <v>264</v>
      </c>
      <c r="CJ25" s="182">
        <v>21</v>
      </c>
      <c r="CK25" s="46"/>
      <c r="CL25" s="182">
        <v>272</v>
      </c>
      <c r="CM25" s="182">
        <v>2</v>
      </c>
      <c r="CN25" s="182">
        <v>211</v>
      </c>
      <c r="CO25" s="182">
        <v>32</v>
      </c>
      <c r="CQ25" s="182"/>
      <c r="CR25" s="182"/>
      <c r="CS25" s="182"/>
      <c r="CT25" s="182"/>
    </row>
    <row r="26" spans="1:98" x14ac:dyDescent="0.2">
      <c r="A26" s="46">
        <f t="shared" si="0"/>
        <v>43</v>
      </c>
      <c r="B26" s="47">
        <f t="shared" si="3"/>
        <v>40473</v>
      </c>
      <c r="C26" s="46" t="s">
        <v>79</v>
      </c>
      <c r="D26" s="47">
        <f t="shared" si="4"/>
        <v>40479</v>
      </c>
      <c r="F26" s="53"/>
      <c r="J26" s="71">
        <v>724</v>
      </c>
      <c r="K26" s="71">
        <v>324</v>
      </c>
      <c r="L26" s="71">
        <v>663</v>
      </c>
      <c r="M26" s="71">
        <v>489</v>
      </c>
      <c r="N26" s="71"/>
      <c r="V26" s="53"/>
      <c r="W26" s="53"/>
      <c r="X26" s="53"/>
      <c r="AF26" s="46"/>
      <c r="AH26" s="60"/>
      <c r="AO26"/>
      <c r="AQ26"/>
      <c r="BW26" s="68">
        <v>1774</v>
      </c>
      <c r="BX26" s="68">
        <v>37</v>
      </c>
      <c r="BY26" s="68">
        <v>146</v>
      </c>
      <c r="BZ26" s="68">
        <v>11</v>
      </c>
      <c r="CB26" s="68">
        <v>3100</v>
      </c>
      <c r="CC26" s="68">
        <v>61</v>
      </c>
      <c r="CD26" s="68">
        <v>168</v>
      </c>
      <c r="CE26" s="68">
        <v>22</v>
      </c>
      <c r="CG26" s="182">
        <v>2686</v>
      </c>
      <c r="CH26" s="182">
        <v>56</v>
      </c>
      <c r="CI26" s="182">
        <v>270</v>
      </c>
      <c r="CJ26" s="182">
        <v>22</v>
      </c>
      <c r="CK26" s="46"/>
      <c r="CL26" s="182">
        <v>302</v>
      </c>
      <c r="CM26" s="182">
        <v>6</v>
      </c>
      <c r="CN26" s="182">
        <v>223</v>
      </c>
      <c r="CO26" s="182">
        <v>34</v>
      </c>
      <c r="CQ26" s="182"/>
      <c r="CR26" s="182"/>
      <c r="CS26" s="182"/>
      <c r="CT26" s="182"/>
    </row>
    <row r="27" spans="1:98" x14ac:dyDescent="0.2">
      <c r="A27" s="46">
        <f t="shared" si="0"/>
        <v>44</v>
      </c>
      <c r="B27" s="47">
        <f t="shared" si="3"/>
        <v>40480</v>
      </c>
      <c r="C27" s="46" t="s">
        <v>79</v>
      </c>
      <c r="D27" s="47">
        <f t="shared" si="4"/>
        <v>40486</v>
      </c>
      <c r="F27" s="53"/>
      <c r="J27" s="71">
        <v>747</v>
      </c>
      <c r="K27" s="71">
        <v>332</v>
      </c>
      <c r="L27" s="71">
        <v>994</v>
      </c>
      <c r="M27" s="71">
        <v>569</v>
      </c>
      <c r="N27" s="71"/>
      <c r="V27" s="53"/>
      <c r="W27" s="53"/>
      <c r="X27" s="53"/>
      <c r="AF27" s="46"/>
      <c r="AH27" s="60"/>
      <c r="AO27"/>
      <c r="AQ27"/>
      <c r="BW27" s="68">
        <v>1796</v>
      </c>
      <c r="BX27" s="68">
        <v>83</v>
      </c>
      <c r="BY27" s="68">
        <v>157</v>
      </c>
      <c r="BZ27" s="68">
        <v>11</v>
      </c>
      <c r="CB27" s="68">
        <v>3141</v>
      </c>
      <c r="CC27" s="68">
        <v>87</v>
      </c>
      <c r="CD27" s="68">
        <v>174</v>
      </c>
      <c r="CE27" s="68">
        <v>22</v>
      </c>
      <c r="CG27" s="182">
        <v>2895</v>
      </c>
      <c r="CH27" s="182">
        <v>63</v>
      </c>
      <c r="CI27" s="182">
        <v>314</v>
      </c>
      <c r="CJ27" s="182">
        <v>22</v>
      </c>
      <c r="CK27" s="46"/>
      <c r="CL27" s="182">
        <v>319</v>
      </c>
      <c r="CM27" s="182">
        <v>21</v>
      </c>
      <c r="CN27" s="182">
        <v>245</v>
      </c>
      <c r="CO27" s="182">
        <v>44</v>
      </c>
      <c r="CQ27" s="182"/>
      <c r="CR27" s="182"/>
      <c r="CS27" s="182"/>
      <c r="CT27" s="182"/>
    </row>
    <row r="28" spans="1:98" x14ac:dyDescent="0.2">
      <c r="A28" s="46">
        <f t="shared" si="0"/>
        <v>45</v>
      </c>
      <c r="B28" s="47">
        <f t="shared" si="3"/>
        <v>40487</v>
      </c>
      <c r="C28" s="46" t="s">
        <v>79</v>
      </c>
      <c r="D28" s="47">
        <f t="shared" si="4"/>
        <v>40493</v>
      </c>
      <c r="F28" s="53"/>
      <c r="J28" s="71">
        <v>747</v>
      </c>
      <c r="K28" s="71">
        <v>344</v>
      </c>
      <c r="L28" s="71">
        <v>1072</v>
      </c>
      <c r="M28" s="71">
        <v>820</v>
      </c>
      <c r="N28" s="71"/>
      <c r="V28" s="53"/>
      <c r="W28" s="53"/>
      <c r="X28" s="53"/>
      <c r="AF28" s="46"/>
      <c r="AH28" s="60"/>
      <c r="AO28"/>
      <c r="AQ28"/>
      <c r="BW28" s="68">
        <v>1826</v>
      </c>
      <c r="BX28" s="68">
        <v>188</v>
      </c>
      <c r="BY28" s="68">
        <v>189</v>
      </c>
      <c r="BZ28" s="68">
        <v>11</v>
      </c>
      <c r="CB28" s="68">
        <v>3163</v>
      </c>
      <c r="CC28" s="68">
        <v>149</v>
      </c>
      <c r="CD28" s="68">
        <v>184</v>
      </c>
      <c r="CE28" s="68">
        <v>22</v>
      </c>
      <c r="CG28" s="182">
        <v>2979</v>
      </c>
      <c r="CH28" s="182">
        <v>261</v>
      </c>
      <c r="CI28" s="182">
        <v>425</v>
      </c>
      <c r="CJ28" s="182">
        <v>25</v>
      </c>
      <c r="CK28" s="46"/>
      <c r="CL28" s="182">
        <v>329</v>
      </c>
      <c r="CM28" s="182">
        <v>26</v>
      </c>
      <c r="CN28" s="182">
        <v>258</v>
      </c>
      <c r="CO28" s="182">
        <v>48</v>
      </c>
      <c r="CQ28" s="182"/>
      <c r="CR28" s="182"/>
      <c r="CS28" s="182"/>
      <c r="CT28" s="182"/>
    </row>
    <row r="29" spans="1:98" x14ac:dyDescent="0.2">
      <c r="A29" s="46">
        <f t="shared" si="0"/>
        <v>46</v>
      </c>
      <c r="B29" s="47">
        <f t="shared" si="3"/>
        <v>40494</v>
      </c>
      <c r="C29" s="46" t="s">
        <v>79</v>
      </c>
      <c r="D29" s="47">
        <f t="shared" si="4"/>
        <v>40500</v>
      </c>
      <c r="F29" s="53"/>
      <c r="J29" s="71">
        <v>757</v>
      </c>
      <c r="K29" s="71">
        <v>348</v>
      </c>
      <c r="L29" s="71">
        <v>1126</v>
      </c>
      <c r="M29" s="71">
        <v>831</v>
      </c>
      <c r="N29" s="71"/>
      <c r="V29" s="53"/>
      <c r="W29" s="53"/>
      <c r="X29" s="53"/>
      <c r="AF29" s="46"/>
      <c r="AH29" s="60"/>
      <c r="AO29"/>
      <c r="AQ29"/>
      <c r="BW29" s="68">
        <v>1838</v>
      </c>
      <c r="BX29" s="68">
        <v>261</v>
      </c>
      <c r="BY29" s="68">
        <v>195</v>
      </c>
      <c r="BZ29" s="68">
        <v>11</v>
      </c>
      <c r="CB29" s="68">
        <v>3174</v>
      </c>
      <c r="CC29" s="68">
        <v>164</v>
      </c>
      <c r="CD29" s="68">
        <v>208</v>
      </c>
      <c r="CE29" s="68">
        <v>22</v>
      </c>
      <c r="CG29" s="182">
        <v>3089</v>
      </c>
      <c r="CH29" s="182">
        <v>297</v>
      </c>
      <c r="CI29" s="182">
        <v>456</v>
      </c>
      <c r="CJ29" s="182">
        <v>26</v>
      </c>
      <c r="CK29" s="46"/>
      <c r="CL29" s="185">
        <v>354</v>
      </c>
      <c r="CM29" s="185">
        <v>88</v>
      </c>
      <c r="CN29" s="185">
        <v>325</v>
      </c>
      <c r="CO29" s="185">
        <v>55</v>
      </c>
      <c r="CQ29" s="182"/>
      <c r="CR29" s="182"/>
      <c r="CS29" s="182"/>
      <c r="CT29" s="182"/>
    </row>
    <row r="30" spans="1:98" x14ac:dyDescent="0.2">
      <c r="A30" s="46">
        <f t="shared" si="0"/>
        <v>47</v>
      </c>
      <c r="B30" s="47">
        <f t="shared" si="3"/>
        <v>40501</v>
      </c>
      <c r="C30" s="46" t="s">
        <v>79</v>
      </c>
      <c r="D30" s="47">
        <f t="shared" si="4"/>
        <v>40507</v>
      </c>
      <c r="F30" s="53"/>
      <c r="J30" s="71">
        <v>759</v>
      </c>
      <c r="K30" s="71">
        <v>349</v>
      </c>
      <c r="L30" s="71">
        <v>1144</v>
      </c>
      <c r="M30" s="71">
        <v>837</v>
      </c>
      <c r="N30" s="71"/>
      <c r="V30" s="53"/>
      <c r="W30" s="53"/>
      <c r="X30" s="53"/>
      <c r="AF30" s="46"/>
      <c r="AH30" s="60"/>
      <c r="AO30"/>
      <c r="AQ30"/>
      <c r="BW30" s="68">
        <v>1848</v>
      </c>
      <c r="BX30" s="68">
        <v>296</v>
      </c>
      <c r="BY30" s="68">
        <v>196</v>
      </c>
      <c r="BZ30" s="68">
        <v>11</v>
      </c>
      <c r="CB30" s="68">
        <v>3177</v>
      </c>
      <c r="CC30" s="68">
        <v>168</v>
      </c>
      <c r="CD30" s="68">
        <v>211</v>
      </c>
      <c r="CE30" s="68">
        <v>22</v>
      </c>
      <c r="CG30" s="182">
        <v>3106</v>
      </c>
      <c r="CH30" s="182">
        <v>308</v>
      </c>
      <c r="CI30" s="182">
        <v>468</v>
      </c>
      <c r="CJ30" s="182">
        <v>26</v>
      </c>
      <c r="CK30" s="46"/>
      <c r="CL30" s="182"/>
      <c r="CM30" s="182"/>
      <c r="CN30" s="182"/>
      <c r="CO30" s="182"/>
    </row>
    <row r="31" spans="1:98" x14ac:dyDescent="0.2">
      <c r="A31" s="46">
        <f t="shared" si="0"/>
        <v>48</v>
      </c>
      <c r="B31" s="47">
        <f t="shared" si="3"/>
        <v>40508</v>
      </c>
      <c r="C31" s="46" t="s">
        <v>79</v>
      </c>
      <c r="D31" s="47">
        <f t="shared" si="4"/>
        <v>40514</v>
      </c>
      <c r="F31" s="53"/>
      <c r="J31" s="39">
        <v>759</v>
      </c>
      <c r="K31" s="39">
        <v>349</v>
      </c>
      <c r="L31" s="51">
        <v>1161</v>
      </c>
      <c r="M31" s="51">
        <v>837</v>
      </c>
      <c r="N31" s="71"/>
      <c r="V31" s="53"/>
      <c r="W31" s="53"/>
      <c r="X31" s="53"/>
      <c r="AF31" s="46"/>
      <c r="AH31" s="60"/>
      <c r="AO31"/>
      <c r="AQ31"/>
      <c r="BW31" s="68">
        <v>1848</v>
      </c>
      <c r="BX31" s="68">
        <v>319</v>
      </c>
      <c r="BY31" s="68">
        <v>203</v>
      </c>
      <c r="BZ31" s="68">
        <v>11</v>
      </c>
      <c r="CB31" s="68">
        <v>3184</v>
      </c>
      <c r="CC31" s="68">
        <v>223</v>
      </c>
      <c r="CD31" s="68">
        <v>213</v>
      </c>
      <c r="CE31" s="68">
        <v>22</v>
      </c>
      <c r="CG31" s="182">
        <v>3115</v>
      </c>
      <c r="CH31" s="182">
        <v>310</v>
      </c>
      <c r="CI31" s="182">
        <v>476</v>
      </c>
      <c r="CJ31" s="182">
        <v>27</v>
      </c>
      <c r="CK31" s="46"/>
      <c r="CL31" s="182"/>
      <c r="CM31" s="182"/>
      <c r="CN31" s="182"/>
      <c r="CO31" s="182"/>
    </row>
    <row r="32" spans="1:98" x14ac:dyDescent="0.2">
      <c r="A32" s="46">
        <f t="shared" si="0"/>
        <v>49</v>
      </c>
      <c r="B32" s="47">
        <f t="shared" si="3"/>
        <v>40515</v>
      </c>
      <c r="C32" s="46" t="s">
        <v>79</v>
      </c>
      <c r="D32" s="47">
        <f t="shared" si="4"/>
        <v>40521</v>
      </c>
      <c r="AF32" s="46"/>
      <c r="AH32" s="60"/>
      <c r="AO32"/>
      <c r="AQ32"/>
      <c r="BW32" s="68">
        <v>1848</v>
      </c>
      <c r="BX32" s="68">
        <v>336</v>
      </c>
      <c r="BY32" s="68">
        <v>207</v>
      </c>
      <c r="BZ32" s="68">
        <v>11</v>
      </c>
      <c r="CB32" s="68">
        <v>3193</v>
      </c>
      <c r="CC32" s="68">
        <v>240</v>
      </c>
      <c r="CD32" s="68">
        <v>217</v>
      </c>
      <c r="CE32" s="68">
        <v>22</v>
      </c>
      <c r="CG32" s="183">
        <v>3119</v>
      </c>
      <c r="CH32" s="182">
        <v>318</v>
      </c>
      <c r="CI32" s="182">
        <v>516</v>
      </c>
      <c r="CJ32" s="183">
        <v>29</v>
      </c>
      <c r="CK32" s="46"/>
      <c r="CL32" s="183"/>
      <c r="CM32" s="182"/>
      <c r="CN32" s="182"/>
      <c r="CO32" s="183"/>
    </row>
    <row r="33" spans="1:93" x14ac:dyDescent="0.2">
      <c r="A33" s="46">
        <f t="shared" si="0"/>
        <v>50</v>
      </c>
      <c r="B33" s="47">
        <f t="shared" si="3"/>
        <v>40522</v>
      </c>
      <c r="C33" s="46" t="s">
        <v>79</v>
      </c>
      <c r="D33" s="47">
        <f t="shared" si="4"/>
        <v>40528</v>
      </c>
      <c r="AF33" s="46"/>
      <c r="AH33" s="60"/>
      <c r="AO33"/>
      <c r="AQ33"/>
      <c r="BW33" s="68">
        <v>1848</v>
      </c>
      <c r="BX33" s="68">
        <v>368</v>
      </c>
      <c r="BY33" s="68">
        <v>217</v>
      </c>
      <c r="BZ33" s="68">
        <v>11</v>
      </c>
      <c r="CB33" s="68">
        <v>3195</v>
      </c>
      <c r="CC33" s="68">
        <v>252</v>
      </c>
      <c r="CD33" s="68">
        <v>221</v>
      </c>
      <c r="CE33" s="68">
        <v>22</v>
      </c>
      <c r="CG33" s="184"/>
      <c r="CH33" s="185">
        <v>319</v>
      </c>
      <c r="CI33" s="185">
        <v>518</v>
      </c>
      <c r="CJ33" s="184"/>
      <c r="CL33" s="182"/>
      <c r="CM33" s="183"/>
      <c r="CN33" s="183"/>
      <c r="CO33" s="182"/>
    </row>
    <row r="34" spans="1:93" ht="13.5" thickBot="1" x14ac:dyDescent="0.25">
      <c r="A34" s="46">
        <f t="shared" si="0"/>
        <v>51</v>
      </c>
      <c r="B34" s="47">
        <f t="shared" si="3"/>
        <v>40529</v>
      </c>
      <c r="C34" s="46" t="s">
        <v>79</v>
      </c>
      <c r="D34" s="47">
        <f t="shared" si="4"/>
        <v>40535</v>
      </c>
      <c r="AF34" s="46"/>
      <c r="AH34" s="60"/>
      <c r="AO34"/>
      <c r="AQ34"/>
      <c r="BW34" s="81">
        <v>1848</v>
      </c>
      <c r="BX34" s="81">
        <v>372</v>
      </c>
      <c r="BY34" s="81">
        <v>222</v>
      </c>
      <c r="BZ34" s="81">
        <v>11</v>
      </c>
      <c r="CB34" s="82">
        <v>3195</v>
      </c>
      <c r="CC34" s="82">
        <v>252</v>
      </c>
      <c r="CD34" s="82">
        <v>221</v>
      </c>
      <c r="CE34" s="82">
        <v>22</v>
      </c>
      <c r="CG34" s="182"/>
      <c r="CH34" s="182"/>
      <c r="CI34" s="182"/>
      <c r="CJ34" s="182"/>
    </row>
    <row r="35" spans="1:93" x14ac:dyDescent="0.2">
      <c r="A35" s="46"/>
      <c r="B35" s="47"/>
      <c r="C35" s="46"/>
      <c r="D35" s="47"/>
      <c r="AF35" s="46"/>
      <c r="AH35" s="60"/>
      <c r="AO35"/>
      <c r="AQ35"/>
    </row>
    <row r="36" spans="1:93" x14ac:dyDescent="0.2">
      <c r="A36" s="46"/>
      <c r="B36" s="47"/>
      <c r="C36" s="46"/>
      <c r="D36" s="47"/>
      <c r="AF36" s="46"/>
      <c r="AH36" s="60"/>
      <c r="AO36"/>
      <c r="AQ36"/>
    </row>
    <row r="37" spans="1:93" x14ac:dyDescent="0.2">
      <c r="A37" s="46"/>
      <c r="B37" s="47"/>
      <c r="C37" s="46"/>
      <c r="D37" s="47"/>
      <c r="AF37" s="46"/>
      <c r="AH37" s="60"/>
      <c r="AO37"/>
      <c r="AQ37"/>
    </row>
    <row r="38" spans="1:93" x14ac:dyDescent="0.2">
      <c r="A38" s="46"/>
      <c r="B38" s="47"/>
      <c r="C38" s="46"/>
      <c r="D38" s="47"/>
      <c r="AF38" s="46"/>
      <c r="AH38" s="60"/>
      <c r="AO38"/>
      <c r="AQ38"/>
    </row>
    <row r="39" spans="1:93" x14ac:dyDescent="0.2">
      <c r="AF39" s="46"/>
      <c r="AH39" s="60"/>
      <c r="AO39"/>
      <c r="AQ39"/>
    </row>
    <row r="40" spans="1:93" x14ac:dyDescent="0.2">
      <c r="AF40" s="46"/>
      <c r="AH40" s="60"/>
      <c r="AO40"/>
      <c r="AQ40"/>
    </row>
    <row r="41" spans="1:93" x14ac:dyDescent="0.2">
      <c r="AF41" s="46"/>
      <c r="AH41" s="60"/>
      <c r="AO41"/>
      <c r="AQ41"/>
    </row>
    <row r="42" spans="1:93" x14ac:dyDescent="0.2">
      <c r="AF42" s="46"/>
      <c r="AH42" s="60"/>
      <c r="AO42"/>
      <c r="AQ42"/>
    </row>
    <row r="43" spans="1:93" x14ac:dyDescent="0.2">
      <c r="AF43" s="46"/>
      <c r="AH43" s="60"/>
      <c r="AO43"/>
      <c r="AQ43"/>
    </row>
    <row r="44" spans="1:93" x14ac:dyDescent="0.2">
      <c r="AF44" s="46"/>
      <c r="AH44" s="60"/>
      <c r="AO44"/>
      <c r="AQ44"/>
    </row>
    <row r="45" spans="1:93" x14ac:dyDescent="0.2">
      <c r="AF45" s="46"/>
      <c r="AH45" s="60"/>
      <c r="AO45"/>
      <c r="AQ45"/>
    </row>
    <row r="46" spans="1:93" x14ac:dyDescent="0.2">
      <c r="AF46" s="46"/>
      <c r="AH46" s="60"/>
      <c r="AO46"/>
      <c r="AQ46"/>
    </row>
  </sheetData>
  <mergeCells count="15">
    <mergeCell ref="CQ3:CT3"/>
    <mergeCell ref="CL3:CO3"/>
    <mergeCell ref="AY20:BA20"/>
    <mergeCell ref="AY21:BA21"/>
    <mergeCell ref="F2:Q2"/>
    <mergeCell ref="S2:AC2"/>
    <mergeCell ref="AE2:AO2"/>
    <mergeCell ref="AQ2:BA2"/>
    <mergeCell ref="CG3:CJ3"/>
    <mergeCell ref="BW3:BZ3"/>
    <mergeCell ref="CB3:CE3"/>
    <mergeCell ref="AY18:BA18"/>
    <mergeCell ref="AY19:BA19"/>
    <mergeCell ref="BO3:BQ3"/>
    <mergeCell ref="BS3:BU3"/>
  </mergeCells>
  <printOptions horizontalCentered="1"/>
  <pageMargins left="0.5" right="0.5" top="1" bottom="1" header="0.5" footer="0.5"/>
  <pageSetup orientation="landscape" r:id="rId1"/>
  <headerFooter alignWithMargins="0"/>
  <colBreaks count="4" manualBreakCount="4">
    <brk id="18" max="22" man="1"/>
    <brk id="30" max="22" man="1"/>
    <brk id="42" max="22" man="1"/>
    <brk id="54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9FEB-3D41-4029-A441-498AE360B109}">
  <dimension ref="A1:CN40"/>
  <sheetViews>
    <sheetView workbookViewId="0">
      <pane xSplit="1" topLeftCell="BG1" activePane="topRight" state="frozen"/>
      <selection pane="topRight" activeCell="CC5" sqref="CC5"/>
    </sheetView>
  </sheetViews>
  <sheetFormatPr defaultColWidth="9.140625" defaultRowHeight="12.75" x14ac:dyDescent="0.2"/>
  <cols>
    <col min="1" max="1" width="6.28515625" style="60" customWidth="1"/>
    <col min="2" max="2" width="7.42578125" style="60" customWidth="1"/>
    <col min="3" max="3" width="3.28515625" style="60" customWidth="1"/>
    <col min="4" max="4" width="8.7109375" style="60" customWidth="1"/>
    <col min="5" max="7" width="9.42578125" style="60" bestFit="1" customWidth="1"/>
    <col min="8" max="8" width="2.42578125" style="60" customWidth="1"/>
    <col min="9" max="9" width="9.42578125" style="60" bestFit="1" customWidth="1"/>
    <col min="10" max="10" width="9.28515625" style="60" bestFit="1" customWidth="1"/>
    <col min="11" max="11" width="9.42578125" style="60" bestFit="1" customWidth="1"/>
    <col min="12" max="12" width="2.42578125" style="60" customWidth="1"/>
    <col min="13" max="13" width="9.42578125" style="60" bestFit="1" customWidth="1"/>
    <col min="14" max="14" width="9.28515625" style="60" bestFit="1" customWidth="1"/>
    <col min="15" max="15" width="9.42578125" style="60" bestFit="1" customWidth="1"/>
    <col min="16" max="16" width="2.42578125" style="60" customWidth="1"/>
    <col min="17" max="17" width="9.42578125" style="60" bestFit="1" customWidth="1"/>
    <col min="18" max="18" width="9.28515625" style="60" bestFit="1" customWidth="1"/>
    <col min="19" max="19" width="9.42578125" style="60" bestFit="1" customWidth="1"/>
    <col min="20" max="20" width="2.42578125" style="60" customWidth="1"/>
    <col min="21" max="21" width="9.42578125" style="60" bestFit="1" customWidth="1"/>
    <col min="22" max="23" width="9.28515625" style="60" bestFit="1" customWidth="1"/>
    <col min="24" max="24" width="2.42578125" style="60" customWidth="1"/>
    <col min="25" max="25" width="9.42578125" style="60" bestFit="1" customWidth="1"/>
    <col min="26" max="26" width="9.28515625" style="60" bestFit="1" customWidth="1"/>
    <col min="27" max="27" width="9.42578125" style="60" bestFit="1" customWidth="1"/>
    <col min="28" max="28" width="2.42578125" style="60" customWidth="1"/>
    <col min="29" max="29" width="9.42578125" style="60" bestFit="1" customWidth="1"/>
    <col min="30" max="31" width="9.28515625" style="60" bestFit="1" customWidth="1"/>
    <col min="32" max="32" width="2.42578125" style="60" customWidth="1"/>
    <col min="33" max="33" width="9.42578125" style="60" bestFit="1" customWidth="1"/>
    <col min="34" max="34" width="9.28515625" style="60" bestFit="1" customWidth="1"/>
    <col min="35" max="35" width="9.42578125" style="60" bestFit="1" customWidth="1"/>
    <col min="36" max="36" width="2.42578125" style="60" customWidth="1"/>
    <col min="37" max="37" width="9.42578125" style="60" bestFit="1" customWidth="1"/>
    <col min="38" max="38" width="9.28515625" style="60" bestFit="1" customWidth="1"/>
    <col min="39" max="39" width="9.42578125" style="60" bestFit="1" customWidth="1"/>
    <col min="40" max="40" width="2.42578125" style="60" customWidth="1"/>
    <col min="41" max="42" width="9.28515625" style="60" bestFit="1" customWidth="1"/>
    <col min="43" max="43" width="9.42578125" style="40" bestFit="1" customWidth="1"/>
    <col min="44" max="44" width="2.42578125" style="60" customWidth="1"/>
    <col min="45" max="47" width="9.42578125" style="60" bestFit="1" customWidth="1"/>
    <col min="48" max="48" width="2.42578125" style="60" customWidth="1"/>
    <col min="49" max="50" width="9.28515625" style="60" bestFit="1" customWidth="1"/>
    <col min="51" max="51" width="9.42578125" style="60" bestFit="1" customWidth="1"/>
    <col min="52" max="52" width="9.140625" style="60" hidden="1" customWidth="1"/>
    <col min="53" max="55" width="9.28515625" style="60" bestFit="1" customWidth="1"/>
    <col min="56" max="56" width="2" style="60" customWidth="1"/>
    <col min="57" max="57" width="9.42578125" style="60" bestFit="1" customWidth="1"/>
    <col min="58" max="59" width="9.28515625" style="60" bestFit="1" customWidth="1"/>
    <col min="60" max="60" width="2" style="60" customWidth="1"/>
    <col min="61" max="61" width="9.42578125" style="60" bestFit="1" customWidth="1"/>
    <col min="62" max="62" width="9.28515625" style="60" bestFit="1" customWidth="1"/>
    <col min="63" max="63" width="9.140625" style="60" customWidth="1"/>
    <col min="64" max="64" width="1.7109375" style="60" customWidth="1"/>
    <col min="65" max="67" width="9.28515625" style="60" customWidth="1"/>
    <col min="68" max="68" width="2" style="60" customWidth="1"/>
    <col min="69" max="71" width="9.140625" style="60"/>
    <col min="72" max="72" width="2.28515625" style="60" customWidth="1"/>
    <col min="73" max="73" width="9.42578125" style="60" bestFit="1" customWidth="1"/>
    <col min="74" max="75" width="9.28515625" style="60" bestFit="1" customWidth="1"/>
    <col min="76" max="76" width="1.42578125" style="60" customWidth="1"/>
    <col min="77" max="79" width="9.140625" style="60"/>
    <col min="80" max="80" width="2.140625" style="60" customWidth="1"/>
    <col min="81" max="83" width="7.85546875" style="60" customWidth="1"/>
    <col min="84" max="84" width="3" style="60" customWidth="1"/>
    <col min="85" max="16384" width="9.140625" style="60"/>
  </cols>
  <sheetData>
    <row r="1" spans="1:92" s="33" customFormat="1" x14ac:dyDescent="0.2">
      <c r="B1" s="83"/>
      <c r="C1" s="83"/>
      <c r="D1" s="83"/>
      <c r="E1" s="83" t="s">
        <v>139</v>
      </c>
      <c r="F1" s="83"/>
      <c r="G1" s="83"/>
      <c r="H1" s="83"/>
      <c r="I1" s="83"/>
      <c r="Q1" s="83" t="str">
        <f>E1</f>
        <v>Willow Creek weir, cumulative weekly trapping totals, 2004-2024.</v>
      </c>
      <c r="AC1" s="83" t="str">
        <f>E1</f>
        <v>Willow Creek weir, cumulative weekly trapping totals, 2004-2024.</v>
      </c>
      <c r="AG1" s="60"/>
      <c r="AH1" s="60"/>
      <c r="AI1" s="60"/>
      <c r="AO1" s="83" t="str">
        <f>E1</f>
        <v>Willow Creek weir, cumulative weekly trapping totals, 2004-2024.</v>
      </c>
      <c r="AQ1" s="36"/>
      <c r="BA1" s="83" t="str">
        <f>E1</f>
        <v>Willow Creek weir, cumulative weekly trapping totals, 2004-2024.</v>
      </c>
      <c r="BC1" s="36"/>
    </row>
    <row r="2" spans="1:92" x14ac:dyDescent="0.2">
      <c r="A2" s="40" t="s">
        <v>38</v>
      </c>
      <c r="E2" s="63"/>
      <c r="F2" s="63">
        <v>2004</v>
      </c>
      <c r="G2" s="63"/>
      <c r="H2" s="40"/>
      <c r="I2" s="63"/>
      <c r="J2" s="63">
        <v>2005</v>
      </c>
      <c r="K2" s="63"/>
      <c r="L2" s="40"/>
      <c r="M2" s="63"/>
      <c r="N2" s="63">
        <v>2006</v>
      </c>
      <c r="O2" s="63"/>
      <c r="P2" s="40"/>
      <c r="Q2" s="63"/>
      <c r="R2" s="63">
        <v>2007</v>
      </c>
      <c r="S2" s="63"/>
      <c r="T2" s="40"/>
      <c r="U2" s="63"/>
      <c r="V2" s="63">
        <v>2008</v>
      </c>
      <c r="W2" s="63"/>
      <c r="X2" s="40"/>
      <c r="Y2" s="63"/>
      <c r="Z2" s="63">
        <v>2009</v>
      </c>
      <c r="AA2" s="63"/>
      <c r="AC2" s="63"/>
      <c r="AD2" s="63">
        <v>2010</v>
      </c>
      <c r="AE2" s="63"/>
      <c r="AF2" s="63"/>
      <c r="AG2" s="63"/>
      <c r="AH2" s="63">
        <v>2011</v>
      </c>
      <c r="AI2" s="63"/>
      <c r="AJ2" s="63"/>
      <c r="AK2" s="63"/>
      <c r="AL2" s="63">
        <v>2012</v>
      </c>
      <c r="AM2" s="63"/>
      <c r="AN2" s="63"/>
      <c r="AO2" s="63"/>
      <c r="AP2" s="63">
        <v>2013</v>
      </c>
      <c r="AQ2" s="63"/>
      <c r="AS2" s="63"/>
      <c r="AT2" s="63">
        <v>2014</v>
      </c>
      <c r="AU2" s="63"/>
      <c r="AV2" s="63"/>
      <c r="AW2" s="270">
        <v>2015</v>
      </c>
      <c r="AX2" s="270"/>
      <c r="AY2" s="270"/>
      <c r="AZ2" s="63"/>
      <c r="BA2" s="63"/>
      <c r="BB2" s="63">
        <v>2016</v>
      </c>
      <c r="BC2" s="63"/>
      <c r="BE2" s="63"/>
      <c r="BF2" s="63">
        <v>2017</v>
      </c>
      <c r="BG2" s="63"/>
      <c r="BH2" s="63"/>
      <c r="BI2" s="270">
        <v>2018</v>
      </c>
      <c r="BJ2" s="270"/>
      <c r="BK2" s="270"/>
      <c r="BL2" s="40"/>
      <c r="BM2" s="274">
        <v>2019</v>
      </c>
      <c r="BN2" s="274"/>
      <c r="BO2" s="274"/>
      <c r="BQ2" s="274">
        <v>2020</v>
      </c>
      <c r="BR2" s="274"/>
      <c r="BS2" s="274"/>
      <c r="BU2" s="274">
        <v>2021</v>
      </c>
      <c r="BV2" s="274"/>
      <c r="BW2" s="274"/>
      <c r="BY2" s="274">
        <v>2022</v>
      </c>
      <c r="BZ2" s="274"/>
      <c r="CA2" s="274"/>
      <c r="CC2" s="274">
        <v>2023</v>
      </c>
      <c r="CD2" s="274"/>
      <c r="CE2" s="274"/>
      <c r="CG2" s="274">
        <v>2024</v>
      </c>
      <c r="CH2" s="274"/>
      <c r="CI2" s="274"/>
    </row>
    <row r="3" spans="1:92" x14ac:dyDescent="0.2">
      <c r="A3" s="63" t="s">
        <v>44</v>
      </c>
      <c r="B3" s="84" t="s">
        <v>138</v>
      </c>
      <c r="C3" s="84"/>
      <c r="D3" s="84"/>
      <c r="E3" s="63" t="s">
        <v>34</v>
      </c>
      <c r="F3" s="63" t="s">
        <v>35</v>
      </c>
      <c r="G3" s="63" t="s">
        <v>36</v>
      </c>
      <c r="H3" s="63"/>
      <c r="I3" s="63" t="s">
        <v>34</v>
      </c>
      <c r="J3" s="63" t="s">
        <v>35</v>
      </c>
      <c r="K3" s="63" t="s">
        <v>36</v>
      </c>
      <c r="L3" s="63"/>
      <c r="M3" s="63" t="s">
        <v>34</v>
      </c>
      <c r="N3" s="63" t="s">
        <v>35</v>
      </c>
      <c r="O3" s="63" t="s">
        <v>36</v>
      </c>
      <c r="P3" s="63"/>
      <c r="Q3" s="63" t="s">
        <v>34</v>
      </c>
      <c r="R3" s="63" t="s">
        <v>35</v>
      </c>
      <c r="S3" s="63" t="s">
        <v>36</v>
      </c>
      <c r="T3" s="63"/>
      <c r="U3" s="63" t="s">
        <v>34</v>
      </c>
      <c r="V3" s="63" t="s">
        <v>35</v>
      </c>
      <c r="W3" s="63" t="s">
        <v>36</v>
      </c>
      <c r="X3" s="63"/>
      <c r="Y3" s="63" t="s">
        <v>34</v>
      </c>
      <c r="Z3" s="63" t="s">
        <v>35</v>
      </c>
      <c r="AA3" s="63" t="s">
        <v>36</v>
      </c>
      <c r="AB3" s="85"/>
      <c r="AC3" s="63" t="s">
        <v>34</v>
      </c>
      <c r="AD3" s="63" t="s">
        <v>35</v>
      </c>
      <c r="AE3" s="63" t="s">
        <v>36</v>
      </c>
      <c r="AF3" s="63"/>
      <c r="AG3" s="63" t="s">
        <v>34</v>
      </c>
      <c r="AH3" s="63" t="s">
        <v>35</v>
      </c>
      <c r="AI3" s="63" t="s">
        <v>36</v>
      </c>
      <c r="AJ3" s="63"/>
      <c r="AK3" s="63" t="s">
        <v>34</v>
      </c>
      <c r="AL3" s="63" t="s">
        <v>35</v>
      </c>
      <c r="AM3" s="63" t="s">
        <v>36</v>
      </c>
      <c r="AN3" s="63"/>
      <c r="AO3" s="63" t="s">
        <v>34</v>
      </c>
      <c r="AP3" s="63" t="s">
        <v>35</v>
      </c>
      <c r="AQ3" s="63" t="s">
        <v>36</v>
      </c>
      <c r="AR3" s="63"/>
      <c r="AS3" s="63" t="s">
        <v>34</v>
      </c>
      <c r="AT3" s="63" t="s">
        <v>35</v>
      </c>
      <c r="AU3" s="63" t="s">
        <v>36</v>
      </c>
      <c r="AV3" s="63"/>
      <c r="AW3" s="63" t="s">
        <v>34</v>
      </c>
      <c r="AX3" s="63" t="s">
        <v>35</v>
      </c>
      <c r="AY3" s="63" t="s">
        <v>36</v>
      </c>
      <c r="AZ3" s="63"/>
      <c r="BA3" s="63" t="s">
        <v>34</v>
      </c>
      <c r="BB3" s="63" t="s">
        <v>35</v>
      </c>
      <c r="BC3" s="63" t="s">
        <v>36</v>
      </c>
      <c r="BD3" s="63"/>
      <c r="BE3" s="63" t="s">
        <v>34</v>
      </c>
      <c r="BF3" s="63" t="s">
        <v>35</v>
      </c>
      <c r="BG3" s="63" t="s">
        <v>36</v>
      </c>
      <c r="BH3" s="63"/>
      <c r="BI3" s="63" t="s">
        <v>34</v>
      </c>
      <c r="BJ3" s="63" t="s">
        <v>35</v>
      </c>
      <c r="BK3" s="63" t="s">
        <v>36</v>
      </c>
      <c r="BL3" s="63"/>
      <c r="BM3" s="86" t="s">
        <v>34</v>
      </c>
      <c r="BN3" s="86" t="s">
        <v>35</v>
      </c>
      <c r="BO3" s="86" t="s">
        <v>36</v>
      </c>
      <c r="BQ3" s="86" t="s">
        <v>34</v>
      </c>
      <c r="BR3" s="86" t="s">
        <v>35</v>
      </c>
      <c r="BS3" s="86" t="s">
        <v>36</v>
      </c>
      <c r="BU3" s="86" t="s">
        <v>34</v>
      </c>
      <c r="BV3" s="86" t="s">
        <v>35</v>
      </c>
      <c r="BW3" s="86" t="s">
        <v>36</v>
      </c>
      <c r="BY3" s="86" t="s">
        <v>34</v>
      </c>
      <c r="BZ3" s="86" t="s">
        <v>35</v>
      </c>
      <c r="CA3" s="86" t="s">
        <v>36</v>
      </c>
      <c r="CC3" s="86" t="s">
        <v>34</v>
      </c>
      <c r="CD3" s="86" t="s">
        <v>35</v>
      </c>
      <c r="CE3" s="86" t="s">
        <v>36</v>
      </c>
      <c r="CG3" s="86" t="s">
        <v>34</v>
      </c>
      <c r="CH3" s="86" t="s">
        <v>35</v>
      </c>
      <c r="CI3" s="86" t="s">
        <v>36</v>
      </c>
      <c r="CL3" s="40"/>
      <c r="CM3" s="40"/>
      <c r="CN3" s="40"/>
    </row>
    <row r="4" spans="1:92" x14ac:dyDescent="0.2">
      <c r="A4" s="40">
        <v>34</v>
      </c>
      <c r="B4" s="87">
        <v>40410</v>
      </c>
      <c r="C4" s="40" t="s">
        <v>79</v>
      </c>
      <c r="D4" s="87">
        <v>40416</v>
      </c>
      <c r="E4" s="88"/>
      <c r="F4" s="88"/>
      <c r="G4" s="88"/>
      <c r="H4" s="88"/>
      <c r="I4" s="88">
        <v>108</v>
      </c>
      <c r="J4" s="88">
        <v>0</v>
      </c>
      <c r="K4" s="88">
        <v>244</v>
      </c>
      <c r="L4" s="88"/>
      <c r="M4" s="88">
        <v>170</v>
      </c>
      <c r="N4" s="88">
        <v>0</v>
      </c>
      <c r="O4" s="88">
        <v>206</v>
      </c>
      <c r="P4" s="88"/>
      <c r="Q4" s="89">
        <v>96</v>
      </c>
      <c r="R4" s="88">
        <v>0</v>
      </c>
      <c r="S4" s="88">
        <v>420</v>
      </c>
      <c r="T4" s="88"/>
      <c r="U4" s="89">
        <v>201</v>
      </c>
      <c r="V4" s="88">
        <v>1</v>
      </c>
      <c r="W4" s="88">
        <v>119</v>
      </c>
      <c r="X4" s="88"/>
      <c r="Y4" s="88"/>
      <c r="Z4" s="88"/>
      <c r="AA4" s="88"/>
      <c r="AB4" s="88"/>
      <c r="AC4" s="88">
        <v>188</v>
      </c>
      <c r="AD4" s="88">
        <v>0</v>
      </c>
      <c r="AE4" s="88">
        <v>72</v>
      </c>
      <c r="AF4" s="88"/>
      <c r="AG4" s="88"/>
      <c r="AH4" s="88"/>
      <c r="AI4" s="88"/>
      <c r="AJ4" s="88"/>
      <c r="AK4" s="89">
        <v>108</v>
      </c>
      <c r="AL4" s="88">
        <v>0</v>
      </c>
      <c r="AM4" s="88">
        <v>109</v>
      </c>
      <c r="AN4" s="88"/>
      <c r="AO4" s="88"/>
      <c r="AP4" s="88"/>
      <c r="AQ4" s="88"/>
      <c r="AR4" s="88"/>
      <c r="AS4" s="90"/>
      <c r="AT4" s="90"/>
      <c r="AU4" s="90"/>
      <c r="AV4" s="90"/>
      <c r="AW4" s="90"/>
      <c r="AX4" s="90"/>
      <c r="AY4" s="90"/>
      <c r="AZ4" s="90"/>
      <c r="BA4" s="89">
        <v>6</v>
      </c>
      <c r="BB4" s="88"/>
      <c r="BC4" s="88">
        <v>9</v>
      </c>
      <c r="BD4" s="88"/>
      <c r="BE4" s="90"/>
      <c r="BF4" s="90"/>
      <c r="BG4" s="91"/>
      <c r="BH4" s="90"/>
      <c r="BI4" s="90"/>
      <c r="BJ4" s="90"/>
      <c r="BK4" s="90"/>
      <c r="BL4" s="90"/>
      <c r="BM4" s="88"/>
      <c r="BN4" s="88"/>
      <c r="BO4" s="88"/>
      <c r="BQ4" s="88"/>
      <c r="BR4" s="88"/>
      <c r="BS4" s="88"/>
      <c r="BU4" s="40"/>
      <c r="BV4" s="40"/>
      <c r="BW4" s="40"/>
      <c r="CG4" s="60">
        <v>51</v>
      </c>
      <c r="CH4" s="60">
        <v>0</v>
      </c>
      <c r="CI4" s="60">
        <v>157</v>
      </c>
    </row>
    <row r="5" spans="1:92" x14ac:dyDescent="0.2">
      <c r="A5" s="40">
        <f t="shared" ref="A5:A20" si="0">A4+1</f>
        <v>35</v>
      </c>
      <c r="B5" s="87">
        <f t="shared" ref="B5:B20" si="1">B4+7</f>
        <v>40417</v>
      </c>
      <c r="C5" s="40" t="s">
        <v>79</v>
      </c>
      <c r="D5" s="87">
        <f t="shared" ref="D5:D20" si="2">D4+7</f>
        <v>40423</v>
      </c>
      <c r="E5" s="88"/>
      <c r="F5" s="88"/>
      <c r="G5" s="88"/>
      <c r="H5" s="88"/>
      <c r="I5" s="88">
        <v>153</v>
      </c>
      <c r="J5" s="88">
        <v>0</v>
      </c>
      <c r="K5" s="88">
        <v>337</v>
      </c>
      <c r="L5" s="88"/>
      <c r="M5" s="88">
        <v>272</v>
      </c>
      <c r="N5" s="88">
        <v>0</v>
      </c>
      <c r="O5" s="88">
        <v>353</v>
      </c>
      <c r="P5" s="88"/>
      <c r="Q5" s="89">
        <v>135</v>
      </c>
      <c r="R5" s="88">
        <v>0</v>
      </c>
      <c r="S5" s="88">
        <v>953</v>
      </c>
      <c r="T5" s="88"/>
      <c r="U5" s="89">
        <v>397</v>
      </c>
      <c r="V5" s="88">
        <v>3</v>
      </c>
      <c r="W5" s="88">
        <v>184</v>
      </c>
      <c r="X5" s="88"/>
      <c r="Y5" s="88">
        <v>94</v>
      </c>
      <c r="Z5" s="88">
        <v>0</v>
      </c>
      <c r="AA5" s="88">
        <v>33</v>
      </c>
      <c r="AB5" s="88"/>
      <c r="AC5" s="88">
        <v>330</v>
      </c>
      <c r="AD5" s="88">
        <v>0</v>
      </c>
      <c r="AE5" s="88">
        <v>136</v>
      </c>
      <c r="AF5" s="88"/>
      <c r="AG5" s="88"/>
      <c r="AH5" s="88"/>
      <c r="AI5" s="88"/>
      <c r="AJ5" s="88"/>
      <c r="AK5" s="88">
        <f>269+AK4</f>
        <v>377</v>
      </c>
      <c r="AL5" s="88">
        <v>0</v>
      </c>
      <c r="AM5" s="88">
        <v>222</v>
      </c>
      <c r="AN5" s="88"/>
      <c r="AO5" s="92">
        <v>42</v>
      </c>
      <c r="AP5" s="88">
        <v>1</v>
      </c>
      <c r="AQ5" s="88">
        <v>230</v>
      </c>
      <c r="AR5" s="88"/>
      <c r="AS5" s="88"/>
      <c r="AT5" s="88"/>
      <c r="AU5" s="88"/>
      <c r="AV5" s="88"/>
      <c r="AW5" s="89">
        <v>24</v>
      </c>
      <c r="AX5" s="88">
        <v>0</v>
      </c>
      <c r="AY5" s="88">
        <v>55</v>
      </c>
      <c r="AZ5" s="88"/>
      <c r="BA5" s="93">
        <v>63</v>
      </c>
      <c r="BB5" s="88"/>
      <c r="BC5" s="88">
        <v>134</v>
      </c>
      <c r="BD5" s="88"/>
      <c r="BE5" s="88">
        <v>7</v>
      </c>
      <c r="BF5" s="88">
        <v>0</v>
      </c>
      <c r="BG5" s="90">
        <v>44</v>
      </c>
      <c r="BH5" s="88"/>
      <c r="BI5" s="88">
        <v>48</v>
      </c>
      <c r="BJ5" s="88"/>
      <c r="BK5" s="88">
        <v>37</v>
      </c>
      <c r="BL5" s="88"/>
      <c r="BM5" s="88"/>
      <c r="BN5" s="88"/>
      <c r="BO5" s="88"/>
      <c r="BQ5" s="88"/>
      <c r="BR5" s="88"/>
      <c r="BS5" s="88"/>
      <c r="BU5" s="88">
        <v>268</v>
      </c>
      <c r="BV5" s="94" t="s">
        <v>71</v>
      </c>
      <c r="BW5" s="88">
        <v>48</v>
      </c>
      <c r="CC5" s="60">
        <v>62</v>
      </c>
      <c r="CD5" s="40" t="s">
        <v>79</v>
      </c>
      <c r="CE5" s="40">
        <v>22</v>
      </c>
      <c r="CF5" s="95"/>
      <c r="CG5" s="60">
        <v>75</v>
      </c>
      <c r="CH5" s="60">
        <v>0</v>
      </c>
      <c r="CI5" s="60">
        <v>277</v>
      </c>
    </row>
    <row r="6" spans="1:92" x14ac:dyDescent="0.2">
      <c r="A6" s="40">
        <f t="shared" si="0"/>
        <v>36</v>
      </c>
      <c r="B6" s="87">
        <f t="shared" si="1"/>
        <v>40424</v>
      </c>
      <c r="C6" s="40" t="s">
        <v>79</v>
      </c>
      <c r="D6" s="87">
        <f t="shared" si="2"/>
        <v>40430</v>
      </c>
      <c r="E6" s="88"/>
      <c r="F6" s="88"/>
      <c r="G6" s="88"/>
      <c r="H6" s="88"/>
      <c r="I6" s="88">
        <v>316</v>
      </c>
      <c r="J6" s="88">
        <v>2</v>
      </c>
      <c r="K6" s="88">
        <v>481</v>
      </c>
      <c r="L6" s="88"/>
      <c r="M6" s="88">
        <v>452</v>
      </c>
      <c r="N6" s="88">
        <v>4</v>
      </c>
      <c r="O6" s="88">
        <v>518</v>
      </c>
      <c r="P6" s="88"/>
      <c r="Q6" s="89">
        <v>261</v>
      </c>
      <c r="R6" s="88">
        <v>0</v>
      </c>
      <c r="S6" s="88">
        <v>1220</v>
      </c>
      <c r="T6" s="88"/>
      <c r="U6" s="88">
        <v>687</v>
      </c>
      <c r="V6" s="88">
        <v>3</v>
      </c>
      <c r="W6" s="88">
        <v>225</v>
      </c>
      <c r="X6" s="88"/>
      <c r="Y6" s="88">
        <v>264</v>
      </c>
      <c r="Z6" s="88">
        <v>0</v>
      </c>
      <c r="AA6" s="88">
        <v>68</v>
      </c>
      <c r="AB6" s="88"/>
      <c r="AC6" s="88">
        <v>475</v>
      </c>
      <c r="AD6" s="88">
        <v>2</v>
      </c>
      <c r="AE6" s="88">
        <v>212</v>
      </c>
      <c r="AF6" s="88"/>
      <c r="AG6" s="88">
        <v>134</v>
      </c>
      <c r="AH6" s="88">
        <v>2</v>
      </c>
      <c r="AI6" s="88">
        <v>102</v>
      </c>
      <c r="AJ6" s="88"/>
      <c r="AK6" s="88">
        <v>681</v>
      </c>
      <c r="AL6" s="88">
        <v>1</v>
      </c>
      <c r="AM6" s="88">
        <v>293</v>
      </c>
      <c r="AN6" s="88"/>
      <c r="AO6" s="92">
        <v>131</v>
      </c>
      <c r="AP6" s="88">
        <v>1</v>
      </c>
      <c r="AQ6" s="88">
        <v>377</v>
      </c>
      <c r="AR6" s="88"/>
      <c r="AS6" s="88">
        <v>75</v>
      </c>
      <c r="AT6" s="88">
        <v>0</v>
      </c>
      <c r="AU6" s="88">
        <v>70</v>
      </c>
      <c r="AV6" s="88"/>
      <c r="AW6" s="88">
        <v>49</v>
      </c>
      <c r="AX6" s="88">
        <v>1</v>
      </c>
      <c r="AY6" s="88">
        <v>76</v>
      </c>
      <c r="AZ6" s="88"/>
      <c r="BA6" s="93">
        <v>135</v>
      </c>
      <c r="BB6" s="88"/>
      <c r="BC6" s="88">
        <v>184</v>
      </c>
      <c r="BD6" s="88"/>
      <c r="BE6" s="88">
        <v>141</v>
      </c>
      <c r="BF6" s="88">
        <v>0</v>
      </c>
      <c r="BG6" s="88">
        <v>91</v>
      </c>
      <c r="BH6" s="88"/>
      <c r="BI6" s="88">
        <v>116</v>
      </c>
      <c r="BJ6" s="88"/>
      <c r="BK6" s="88">
        <v>86</v>
      </c>
      <c r="BL6" s="88"/>
      <c r="BM6" s="88"/>
      <c r="BN6" s="88"/>
      <c r="BO6" s="88"/>
      <c r="BQ6" s="88"/>
      <c r="BR6" s="88"/>
      <c r="BS6" s="88"/>
      <c r="BU6" s="88">
        <v>268</v>
      </c>
      <c r="BV6" s="94" t="s">
        <v>71</v>
      </c>
      <c r="BW6" s="88">
        <v>48</v>
      </c>
      <c r="CC6" s="60">
        <v>108</v>
      </c>
      <c r="CD6" s="40" t="s">
        <v>79</v>
      </c>
      <c r="CE6" s="40">
        <v>47</v>
      </c>
      <c r="CF6" s="95"/>
      <c r="CG6" s="60">
        <v>82</v>
      </c>
      <c r="CH6" s="60">
        <v>0</v>
      </c>
      <c r="CI6" s="60">
        <v>300</v>
      </c>
    </row>
    <row r="7" spans="1:92" x14ac:dyDescent="0.2">
      <c r="A7" s="40">
        <f t="shared" si="0"/>
        <v>37</v>
      </c>
      <c r="B7" s="87">
        <f t="shared" si="1"/>
        <v>40431</v>
      </c>
      <c r="C7" s="40" t="s">
        <v>79</v>
      </c>
      <c r="D7" s="87">
        <f t="shared" si="2"/>
        <v>40437</v>
      </c>
      <c r="E7" s="88">
        <v>274</v>
      </c>
      <c r="F7" s="88">
        <v>9</v>
      </c>
      <c r="G7" s="88">
        <v>31</v>
      </c>
      <c r="H7" s="88"/>
      <c r="I7" s="88">
        <v>676</v>
      </c>
      <c r="J7" s="88">
        <v>4</v>
      </c>
      <c r="K7" s="88">
        <v>584</v>
      </c>
      <c r="L7" s="88"/>
      <c r="M7" s="88">
        <v>565</v>
      </c>
      <c r="N7" s="88">
        <v>12</v>
      </c>
      <c r="O7" s="88">
        <v>658</v>
      </c>
      <c r="P7" s="88"/>
      <c r="Q7" s="88">
        <v>368</v>
      </c>
      <c r="R7" s="88">
        <v>0</v>
      </c>
      <c r="S7" s="88">
        <v>1345</v>
      </c>
      <c r="T7" s="88"/>
      <c r="U7" s="88">
        <v>1139</v>
      </c>
      <c r="V7" s="88">
        <v>4</v>
      </c>
      <c r="W7" s="88">
        <v>262</v>
      </c>
      <c r="X7" s="88"/>
      <c r="Y7" s="88">
        <v>521</v>
      </c>
      <c r="Z7" s="88">
        <v>10</v>
      </c>
      <c r="AA7" s="88">
        <v>221</v>
      </c>
      <c r="AB7" s="88"/>
      <c r="AC7" s="88">
        <v>599</v>
      </c>
      <c r="AD7" s="88">
        <v>7</v>
      </c>
      <c r="AE7" s="88">
        <v>239</v>
      </c>
      <c r="AF7" s="88"/>
      <c r="AG7" s="88">
        <v>646</v>
      </c>
      <c r="AH7" s="88">
        <v>5</v>
      </c>
      <c r="AI7" s="88">
        <v>333</v>
      </c>
      <c r="AJ7" s="88"/>
      <c r="AK7" s="88">
        <f>282+AK6</f>
        <v>963</v>
      </c>
      <c r="AL7" s="88">
        <v>1</v>
      </c>
      <c r="AM7" s="88">
        <v>450</v>
      </c>
      <c r="AN7" s="88"/>
      <c r="AO7" s="92">
        <v>247</v>
      </c>
      <c r="AP7" s="88">
        <f>5+AP6</f>
        <v>6</v>
      </c>
      <c r="AQ7" s="88">
        <v>595</v>
      </c>
      <c r="AR7" s="88"/>
      <c r="AS7" s="88">
        <v>311</v>
      </c>
      <c r="AT7" s="88">
        <v>38</v>
      </c>
      <c r="AU7" s="88">
        <f>AU6+161</f>
        <v>231</v>
      </c>
      <c r="AV7" s="88"/>
      <c r="AW7" s="88">
        <v>52</v>
      </c>
      <c r="AX7" s="88">
        <v>1</v>
      </c>
      <c r="AY7" s="88">
        <v>109</v>
      </c>
      <c r="AZ7" s="88"/>
      <c r="BA7" s="91">
        <v>220</v>
      </c>
      <c r="BB7" s="88">
        <v>1</v>
      </c>
      <c r="BC7" s="88">
        <v>284</v>
      </c>
      <c r="BD7" s="88"/>
      <c r="BE7" s="88">
        <v>318</v>
      </c>
      <c r="BF7" s="88">
        <v>0</v>
      </c>
      <c r="BG7" s="88">
        <v>211</v>
      </c>
      <c r="BH7" s="88"/>
      <c r="BI7" s="88">
        <v>169</v>
      </c>
      <c r="BJ7" s="88"/>
      <c r="BK7" s="88">
        <v>101</v>
      </c>
      <c r="BL7" s="88"/>
      <c r="BM7" s="88">
        <v>401</v>
      </c>
      <c r="BN7" s="88">
        <v>2</v>
      </c>
      <c r="BO7" s="88">
        <v>138</v>
      </c>
      <c r="BP7" s="95"/>
      <c r="BQ7" s="96">
        <v>0</v>
      </c>
      <c r="BR7" s="88">
        <v>0</v>
      </c>
      <c r="BS7" s="88">
        <v>13</v>
      </c>
      <c r="BU7" s="88">
        <v>552</v>
      </c>
      <c r="BV7" s="88">
        <v>2</v>
      </c>
      <c r="BW7" s="88">
        <v>113</v>
      </c>
      <c r="CC7" s="60">
        <v>164</v>
      </c>
      <c r="CD7" s="40">
        <v>7</v>
      </c>
      <c r="CE7" s="40">
        <v>96</v>
      </c>
      <c r="CF7" s="95"/>
      <c r="CG7" s="60">
        <v>184</v>
      </c>
      <c r="CH7" s="60">
        <v>0</v>
      </c>
      <c r="CI7" s="60">
        <v>312</v>
      </c>
    </row>
    <row r="8" spans="1:92" x14ac:dyDescent="0.2">
      <c r="A8" s="40">
        <f t="shared" si="0"/>
        <v>38</v>
      </c>
      <c r="B8" s="87">
        <f t="shared" si="1"/>
        <v>40438</v>
      </c>
      <c r="C8" s="40" t="s">
        <v>79</v>
      </c>
      <c r="D8" s="87">
        <f t="shared" si="2"/>
        <v>40444</v>
      </c>
      <c r="E8" s="88">
        <v>686</v>
      </c>
      <c r="F8" s="88">
        <v>36</v>
      </c>
      <c r="G8" s="88">
        <v>132</v>
      </c>
      <c r="H8" s="88"/>
      <c r="I8" s="88">
        <v>1054</v>
      </c>
      <c r="J8" s="88">
        <v>36</v>
      </c>
      <c r="K8" s="88">
        <v>834</v>
      </c>
      <c r="L8" s="88"/>
      <c r="M8" s="88">
        <v>677</v>
      </c>
      <c r="N8" s="88">
        <v>44</v>
      </c>
      <c r="O8" s="88">
        <v>771</v>
      </c>
      <c r="P8" s="88"/>
      <c r="Q8" s="88">
        <v>547</v>
      </c>
      <c r="R8" s="88">
        <v>0</v>
      </c>
      <c r="S8" s="88">
        <v>1438</v>
      </c>
      <c r="T8" s="88"/>
      <c r="U8" s="88">
        <v>1387</v>
      </c>
      <c r="V8" s="88">
        <v>17</v>
      </c>
      <c r="W8" s="88">
        <v>307</v>
      </c>
      <c r="X8" s="88"/>
      <c r="Y8" s="88">
        <v>830</v>
      </c>
      <c r="Z8" s="88">
        <v>35</v>
      </c>
      <c r="AA8" s="88">
        <v>535</v>
      </c>
      <c r="AB8" s="88"/>
      <c r="AC8" s="88">
        <v>733</v>
      </c>
      <c r="AD8" s="88">
        <v>27</v>
      </c>
      <c r="AE8" s="88">
        <v>519</v>
      </c>
      <c r="AF8" s="88"/>
      <c r="AG8" s="88">
        <v>1109</v>
      </c>
      <c r="AH8" s="88">
        <v>24</v>
      </c>
      <c r="AI8" s="88">
        <v>477</v>
      </c>
      <c r="AJ8" s="88"/>
      <c r="AK8" s="88">
        <f>351+AK7</f>
        <v>1314</v>
      </c>
      <c r="AL8" s="88">
        <v>12</v>
      </c>
      <c r="AM8" s="88">
        <v>719</v>
      </c>
      <c r="AN8" s="88"/>
      <c r="AO8" s="92">
        <v>296</v>
      </c>
      <c r="AP8" s="88">
        <v>7</v>
      </c>
      <c r="AQ8" s="88">
        <v>743</v>
      </c>
      <c r="AR8" s="88"/>
      <c r="AS8" s="88">
        <v>346</v>
      </c>
      <c r="AT8" s="88">
        <v>42</v>
      </c>
      <c r="AU8" s="88">
        <f>AU7+56</f>
        <v>287</v>
      </c>
      <c r="AV8" s="88"/>
      <c r="AW8" s="88">
        <v>150</v>
      </c>
      <c r="AX8" s="88">
        <v>12</v>
      </c>
      <c r="AY8" s="88">
        <v>227</v>
      </c>
      <c r="AZ8" s="88"/>
      <c r="BA8" s="91">
        <v>308</v>
      </c>
      <c r="BB8" s="88">
        <v>1</v>
      </c>
      <c r="BC8" s="88">
        <v>383</v>
      </c>
      <c r="BD8" s="88"/>
      <c r="BE8" s="88">
        <v>652</v>
      </c>
      <c r="BF8" s="88">
        <v>0</v>
      </c>
      <c r="BG8" s="88">
        <v>263</v>
      </c>
      <c r="BH8" s="88"/>
      <c r="BI8" s="88">
        <v>339</v>
      </c>
      <c r="BJ8" s="88"/>
      <c r="BK8" s="88">
        <v>128</v>
      </c>
      <c r="BL8" s="88"/>
      <c r="BM8" s="88">
        <v>593</v>
      </c>
      <c r="BN8" s="88">
        <v>3</v>
      </c>
      <c r="BO8" s="88">
        <v>281</v>
      </c>
      <c r="BP8" s="95"/>
      <c r="BQ8" s="88">
        <v>5</v>
      </c>
      <c r="BR8" s="88">
        <v>1</v>
      </c>
      <c r="BS8" s="88">
        <v>28</v>
      </c>
      <c r="BU8" s="88">
        <v>1403</v>
      </c>
      <c r="BV8" s="88">
        <v>12</v>
      </c>
      <c r="BW8" s="88">
        <v>169</v>
      </c>
      <c r="BY8" s="88">
        <v>10</v>
      </c>
      <c r="BZ8" s="88">
        <v>2</v>
      </c>
      <c r="CA8" s="88">
        <v>5</v>
      </c>
      <c r="CC8" s="88">
        <v>339</v>
      </c>
      <c r="CD8" s="40">
        <v>18</v>
      </c>
      <c r="CE8" s="40">
        <v>137</v>
      </c>
      <c r="CF8" s="95"/>
      <c r="CG8" s="60">
        <v>301</v>
      </c>
      <c r="CH8" s="60">
        <v>0</v>
      </c>
      <c r="CI8" s="60">
        <v>357</v>
      </c>
    </row>
    <row r="9" spans="1:92" x14ac:dyDescent="0.2">
      <c r="A9" s="40">
        <f t="shared" si="0"/>
        <v>39</v>
      </c>
      <c r="B9" s="87">
        <f t="shared" si="1"/>
        <v>40445</v>
      </c>
      <c r="C9" s="40" t="s">
        <v>79</v>
      </c>
      <c r="D9" s="87">
        <f t="shared" si="2"/>
        <v>40451</v>
      </c>
      <c r="E9" s="88">
        <v>1304</v>
      </c>
      <c r="F9" s="88">
        <v>145</v>
      </c>
      <c r="G9" s="88">
        <v>503</v>
      </c>
      <c r="H9" s="88"/>
      <c r="I9" s="88">
        <v>1162</v>
      </c>
      <c r="J9" s="88">
        <v>133</v>
      </c>
      <c r="K9" s="88">
        <v>1028</v>
      </c>
      <c r="L9" s="88"/>
      <c r="M9" s="88">
        <v>826</v>
      </c>
      <c r="N9" s="88">
        <v>66</v>
      </c>
      <c r="O9" s="88">
        <v>1073</v>
      </c>
      <c r="P9" s="88"/>
      <c r="Q9" s="88">
        <v>762</v>
      </c>
      <c r="R9" s="88">
        <v>2</v>
      </c>
      <c r="S9" s="88">
        <v>1627</v>
      </c>
      <c r="T9" s="88"/>
      <c r="U9" s="88">
        <v>1676</v>
      </c>
      <c r="V9" s="88">
        <v>71</v>
      </c>
      <c r="W9" s="88">
        <v>416</v>
      </c>
      <c r="X9" s="88"/>
      <c r="Y9" s="88">
        <v>1021</v>
      </c>
      <c r="Z9" s="88">
        <v>109</v>
      </c>
      <c r="AA9" s="88">
        <v>870</v>
      </c>
      <c r="AB9" s="88"/>
      <c r="AC9" s="88">
        <v>921</v>
      </c>
      <c r="AD9" s="88">
        <v>300</v>
      </c>
      <c r="AE9" s="88">
        <v>649</v>
      </c>
      <c r="AF9" s="88"/>
      <c r="AG9" s="88">
        <v>1339</v>
      </c>
      <c r="AH9" s="88">
        <v>89</v>
      </c>
      <c r="AI9" s="88">
        <v>770</v>
      </c>
      <c r="AJ9" s="88"/>
      <c r="AK9" s="88">
        <f>401+AK8</f>
        <v>1715</v>
      </c>
      <c r="AL9" s="88">
        <f>157+AL8</f>
        <v>169</v>
      </c>
      <c r="AM9" s="88">
        <v>1316</v>
      </c>
      <c r="AN9" s="88"/>
      <c r="AO9" s="92">
        <v>335</v>
      </c>
      <c r="AP9" s="88">
        <v>29</v>
      </c>
      <c r="AQ9" s="88">
        <v>1024</v>
      </c>
      <c r="AR9" s="88"/>
      <c r="AS9" s="88">
        <v>419</v>
      </c>
      <c r="AT9" s="88">
        <v>333</v>
      </c>
      <c r="AU9" s="88">
        <f>AU8+229</f>
        <v>516</v>
      </c>
      <c r="AV9" s="88"/>
      <c r="AW9" s="88">
        <v>300</v>
      </c>
      <c r="AX9" s="88">
        <v>38</v>
      </c>
      <c r="AY9" s="88">
        <v>335</v>
      </c>
      <c r="AZ9" s="88"/>
      <c r="BA9" s="91">
        <v>428</v>
      </c>
      <c r="BB9" s="88">
        <v>1</v>
      </c>
      <c r="BC9" s="88">
        <v>478</v>
      </c>
      <c r="BD9" s="88"/>
      <c r="BE9" s="88">
        <v>1284</v>
      </c>
      <c r="BF9" s="88">
        <v>4</v>
      </c>
      <c r="BG9" s="88">
        <v>369</v>
      </c>
      <c r="BH9" s="88"/>
      <c r="BI9" s="88">
        <v>855</v>
      </c>
      <c r="BJ9" s="88">
        <v>2</v>
      </c>
      <c r="BK9" s="88">
        <v>214</v>
      </c>
      <c r="BL9" s="88"/>
      <c r="BM9" s="88">
        <v>824</v>
      </c>
      <c r="BN9" s="88">
        <v>18</v>
      </c>
      <c r="BO9" s="88">
        <v>375</v>
      </c>
      <c r="BP9" s="95"/>
      <c r="BQ9" s="88">
        <v>56</v>
      </c>
      <c r="BR9" s="88">
        <v>12</v>
      </c>
      <c r="BS9" s="88">
        <v>77</v>
      </c>
      <c r="BU9" s="88">
        <v>2203</v>
      </c>
      <c r="BV9" s="88">
        <v>58</v>
      </c>
      <c r="BW9" s="88">
        <v>223</v>
      </c>
      <c r="BY9" s="88">
        <v>100</v>
      </c>
      <c r="BZ9" s="88">
        <v>69</v>
      </c>
      <c r="CA9" s="88">
        <v>54</v>
      </c>
      <c r="CC9" s="88">
        <v>448</v>
      </c>
      <c r="CD9" s="40">
        <v>31</v>
      </c>
      <c r="CE9" s="40">
        <v>190</v>
      </c>
      <c r="CF9" s="95"/>
      <c r="CG9" s="60">
        <v>353</v>
      </c>
      <c r="CH9" s="60">
        <v>0</v>
      </c>
      <c r="CI9" s="60">
        <v>406</v>
      </c>
    </row>
    <row r="10" spans="1:92" x14ac:dyDescent="0.2">
      <c r="A10" s="40">
        <f t="shared" si="0"/>
        <v>40</v>
      </c>
      <c r="B10" s="87">
        <f t="shared" si="1"/>
        <v>40452</v>
      </c>
      <c r="C10" s="40" t="s">
        <v>79</v>
      </c>
      <c r="D10" s="87">
        <f t="shared" si="2"/>
        <v>40458</v>
      </c>
      <c r="E10" s="88">
        <v>1642</v>
      </c>
      <c r="F10" s="88">
        <v>472</v>
      </c>
      <c r="G10" s="88">
        <v>962</v>
      </c>
      <c r="H10" s="88"/>
      <c r="I10" s="88">
        <v>1254</v>
      </c>
      <c r="J10" s="88">
        <v>245</v>
      </c>
      <c r="K10" s="88">
        <v>1406</v>
      </c>
      <c r="L10" s="88"/>
      <c r="M10" s="88">
        <v>973</v>
      </c>
      <c r="N10" s="88">
        <v>115</v>
      </c>
      <c r="O10" s="88">
        <v>1950</v>
      </c>
      <c r="P10" s="88"/>
      <c r="Q10" s="88">
        <v>835</v>
      </c>
      <c r="R10" s="88">
        <v>26</v>
      </c>
      <c r="S10" s="88">
        <v>2781</v>
      </c>
      <c r="T10" s="88"/>
      <c r="U10" s="88">
        <v>1792</v>
      </c>
      <c r="V10" s="88">
        <v>188</v>
      </c>
      <c r="W10" s="88">
        <v>710</v>
      </c>
      <c r="X10" s="88"/>
      <c r="Y10" s="88">
        <v>1046</v>
      </c>
      <c r="Z10" s="88">
        <v>118</v>
      </c>
      <c r="AA10" s="88">
        <v>893</v>
      </c>
      <c r="AB10" s="88"/>
      <c r="AC10" s="88">
        <v>1118</v>
      </c>
      <c r="AD10" s="88">
        <v>628</v>
      </c>
      <c r="AE10" s="88">
        <v>718</v>
      </c>
      <c r="AF10" s="88"/>
      <c r="AG10" s="88">
        <v>1397</v>
      </c>
      <c r="AH10" s="88">
        <v>144</v>
      </c>
      <c r="AI10" s="88">
        <v>1249</v>
      </c>
      <c r="AJ10" s="88"/>
      <c r="AK10" s="88">
        <f>441+AK9</f>
        <v>2156</v>
      </c>
      <c r="AL10" s="88">
        <f>231+AL9</f>
        <v>400</v>
      </c>
      <c r="AM10" s="88">
        <v>2076</v>
      </c>
      <c r="AN10" s="88"/>
      <c r="AO10" s="92">
        <v>361</v>
      </c>
      <c r="AP10" s="88">
        <f>63+AP9</f>
        <v>92</v>
      </c>
      <c r="AQ10" s="88">
        <v>1320</v>
      </c>
      <c r="AR10" s="88"/>
      <c r="AS10" s="88">
        <v>697</v>
      </c>
      <c r="AT10" s="88">
        <v>674</v>
      </c>
      <c r="AU10" s="88">
        <f>AU9+122</f>
        <v>638</v>
      </c>
      <c r="AV10" s="88"/>
      <c r="AW10" s="88">
        <v>414</v>
      </c>
      <c r="AX10" s="88">
        <v>87</v>
      </c>
      <c r="AY10" s="88">
        <v>445</v>
      </c>
      <c r="AZ10" s="88"/>
      <c r="BA10" s="91">
        <v>449</v>
      </c>
      <c r="BB10" s="88">
        <v>1</v>
      </c>
      <c r="BC10" s="88">
        <v>526</v>
      </c>
      <c r="BD10" s="88"/>
      <c r="BE10" s="88">
        <v>1556</v>
      </c>
      <c r="BF10" s="88">
        <v>11</v>
      </c>
      <c r="BG10" s="88">
        <v>419</v>
      </c>
      <c r="BH10" s="88"/>
      <c r="BI10" s="88">
        <v>1065</v>
      </c>
      <c r="BJ10" s="88">
        <v>7</v>
      </c>
      <c r="BK10" s="88">
        <v>388</v>
      </c>
      <c r="BL10" s="88"/>
      <c r="BM10" s="88">
        <v>1079</v>
      </c>
      <c r="BN10" s="88">
        <v>27</v>
      </c>
      <c r="BO10" s="88">
        <v>407</v>
      </c>
      <c r="BP10" s="95"/>
      <c r="BQ10" s="88">
        <v>69</v>
      </c>
      <c r="BR10" s="88">
        <v>15</v>
      </c>
      <c r="BS10" s="88">
        <v>85</v>
      </c>
      <c r="BU10" s="88">
        <v>2836</v>
      </c>
      <c r="BV10" s="88">
        <v>133</v>
      </c>
      <c r="BW10" s="88">
        <v>253</v>
      </c>
      <c r="BY10" s="88">
        <v>815</v>
      </c>
      <c r="BZ10" s="88">
        <v>429</v>
      </c>
      <c r="CA10" s="88">
        <v>105</v>
      </c>
      <c r="CC10" s="88">
        <v>583</v>
      </c>
      <c r="CD10" s="40">
        <v>61</v>
      </c>
      <c r="CE10" s="40">
        <v>225</v>
      </c>
      <c r="CF10" s="95"/>
      <c r="CG10" s="60">
        <v>426</v>
      </c>
      <c r="CH10" s="60">
        <v>1</v>
      </c>
      <c r="CI10" s="60">
        <v>467</v>
      </c>
    </row>
    <row r="11" spans="1:92" x14ac:dyDescent="0.2">
      <c r="A11" s="40">
        <f t="shared" si="0"/>
        <v>41</v>
      </c>
      <c r="B11" s="87">
        <f t="shared" si="1"/>
        <v>40459</v>
      </c>
      <c r="C11" s="40" t="s">
        <v>79</v>
      </c>
      <c r="D11" s="87">
        <f t="shared" si="2"/>
        <v>40465</v>
      </c>
      <c r="E11" s="88">
        <v>1906</v>
      </c>
      <c r="F11" s="88">
        <v>897</v>
      </c>
      <c r="G11" s="88">
        <v>1560</v>
      </c>
      <c r="H11" s="88"/>
      <c r="I11" s="88">
        <v>1342</v>
      </c>
      <c r="J11" s="88">
        <v>514</v>
      </c>
      <c r="K11" s="88">
        <v>1808</v>
      </c>
      <c r="L11" s="88"/>
      <c r="M11" s="88">
        <v>1061</v>
      </c>
      <c r="N11" s="88">
        <v>182</v>
      </c>
      <c r="O11" s="88">
        <v>2471</v>
      </c>
      <c r="P11" s="88"/>
      <c r="Q11" s="88">
        <v>974</v>
      </c>
      <c r="R11" s="88">
        <v>51</v>
      </c>
      <c r="S11" s="88">
        <v>4108</v>
      </c>
      <c r="T11" s="88"/>
      <c r="U11" s="88">
        <v>1856</v>
      </c>
      <c r="V11" s="88">
        <v>335</v>
      </c>
      <c r="W11" s="88">
        <v>849</v>
      </c>
      <c r="X11" s="88"/>
      <c r="Y11" s="88">
        <v>1082</v>
      </c>
      <c r="Z11" s="88">
        <v>138</v>
      </c>
      <c r="AA11" s="88">
        <v>1118</v>
      </c>
      <c r="AB11" s="88"/>
      <c r="AC11" s="88">
        <v>1181</v>
      </c>
      <c r="AD11" s="88">
        <v>898</v>
      </c>
      <c r="AE11" s="88">
        <v>816</v>
      </c>
      <c r="AF11" s="88"/>
      <c r="AG11" s="88">
        <v>1405</v>
      </c>
      <c r="AH11" s="88">
        <v>183</v>
      </c>
      <c r="AI11" s="88">
        <v>1398</v>
      </c>
      <c r="AJ11" s="88"/>
      <c r="AK11" s="88">
        <f>103+AK10</f>
        <v>2259</v>
      </c>
      <c r="AL11" s="88">
        <f>78+AL10</f>
        <v>478</v>
      </c>
      <c r="AM11" s="88">
        <v>2288</v>
      </c>
      <c r="AN11" s="88"/>
      <c r="AO11" s="92">
        <v>411</v>
      </c>
      <c r="AP11" s="88">
        <f>43+AP10</f>
        <v>135</v>
      </c>
      <c r="AQ11" s="88">
        <v>1526</v>
      </c>
      <c r="AR11" s="88"/>
      <c r="AS11" s="88">
        <v>869</v>
      </c>
      <c r="AT11" s="88">
        <v>979</v>
      </c>
      <c r="AU11" s="88">
        <f>AU10+69</f>
        <v>707</v>
      </c>
      <c r="AV11" s="88"/>
      <c r="AW11" s="88">
        <v>479</v>
      </c>
      <c r="AX11" s="88">
        <v>246</v>
      </c>
      <c r="AY11" s="88">
        <v>776</v>
      </c>
      <c r="AZ11" s="88"/>
      <c r="BA11" s="91">
        <v>459</v>
      </c>
      <c r="BB11" s="88">
        <v>3</v>
      </c>
      <c r="BC11" s="88">
        <v>563</v>
      </c>
      <c r="BD11" s="88"/>
      <c r="BE11" s="88">
        <v>1710</v>
      </c>
      <c r="BF11" s="88">
        <v>27</v>
      </c>
      <c r="BG11" s="88">
        <v>468</v>
      </c>
      <c r="BH11" s="88"/>
      <c r="BI11" s="88">
        <v>1248</v>
      </c>
      <c r="BJ11" s="88">
        <v>35</v>
      </c>
      <c r="BK11" s="88">
        <v>456</v>
      </c>
      <c r="BL11" s="88"/>
      <c r="BM11" s="88">
        <v>1310</v>
      </c>
      <c r="BN11" s="88">
        <v>41</v>
      </c>
      <c r="BO11" s="88">
        <v>430</v>
      </c>
      <c r="BP11" s="95"/>
      <c r="BQ11" s="88">
        <v>90</v>
      </c>
      <c r="BR11" s="88">
        <v>46</v>
      </c>
      <c r="BS11" s="88">
        <v>145</v>
      </c>
      <c r="BU11" s="88">
        <v>3100</v>
      </c>
      <c r="BV11" s="88">
        <v>170</v>
      </c>
      <c r="BW11" s="88">
        <v>261</v>
      </c>
      <c r="BY11" s="88">
        <v>1031</v>
      </c>
      <c r="BZ11" s="88">
        <v>613</v>
      </c>
      <c r="CA11" s="88">
        <v>136</v>
      </c>
      <c r="CC11" s="88">
        <v>730</v>
      </c>
      <c r="CD11" s="40">
        <v>89</v>
      </c>
      <c r="CE11" s="40">
        <v>321</v>
      </c>
      <c r="CF11" s="95"/>
      <c r="CG11" s="60">
        <v>541</v>
      </c>
      <c r="CH11" s="60">
        <v>5</v>
      </c>
      <c r="CI11" s="60">
        <v>543</v>
      </c>
    </row>
    <row r="12" spans="1:92" ht="13.5" thickBot="1" x14ac:dyDescent="0.25">
      <c r="A12" s="40">
        <f t="shared" si="0"/>
        <v>42</v>
      </c>
      <c r="B12" s="87">
        <f t="shared" si="1"/>
        <v>40466</v>
      </c>
      <c r="C12" s="40" t="s">
        <v>79</v>
      </c>
      <c r="D12" s="87">
        <f t="shared" si="2"/>
        <v>40472</v>
      </c>
      <c r="E12" s="88">
        <v>2060</v>
      </c>
      <c r="F12" s="88">
        <v>948</v>
      </c>
      <c r="G12" s="88">
        <v>1826</v>
      </c>
      <c r="H12" s="88"/>
      <c r="I12" s="88">
        <v>1383</v>
      </c>
      <c r="J12" s="88">
        <v>554</v>
      </c>
      <c r="K12" s="88">
        <v>1989</v>
      </c>
      <c r="L12" s="88"/>
      <c r="M12" s="88">
        <v>1111</v>
      </c>
      <c r="N12" s="88">
        <v>220</v>
      </c>
      <c r="O12" s="88">
        <v>3271</v>
      </c>
      <c r="P12" s="88"/>
      <c r="Q12" s="88">
        <v>1021</v>
      </c>
      <c r="R12" s="88">
        <v>84</v>
      </c>
      <c r="S12" s="88">
        <v>4742</v>
      </c>
      <c r="T12" s="88"/>
      <c r="U12" s="88">
        <v>1967</v>
      </c>
      <c r="V12" s="88">
        <v>401</v>
      </c>
      <c r="W12" s="88">
        <v>884</v>
      </c>
      <c r="X12" s="88"/>
      <c r="Y12" s="88">
        <v>1109</v>
      </c>
      <c r="Z12" s="88">
        <v>154</v>
      </c>
      <c r="AA12" s="88">
        <v>1373</v>
      </c>
      <c r="AB12" s="88"/>
      <c r="AC12" s="97">
        <v>1292</v>
      </c>
      <c r="AD12" s="97">
        <v>909</v>
      </c>
      <c r="AE12" s="97">
        <v>822</v>
      </c>
      <c r="AF12" s="88"/>
      <c r="AG12" s="88">
        <v>1484</v>
      </c>
      <c r="AH12" s="88">
        <v>280</v>
      </c>
      <c r="AI12" s="88">
        <v>1516</v>
      </c>
      <c r="AJ12" s="88"/>
      <c r="AK12" s="88">
        <f>92+AK11</f>
        <v>2351</v>
      </c>
      <c r="AL12" s="88">
        <f>75+AL11</f>
        <v>553</v>
      </c>
      <c r="AM12" s="88">
        <v>2891</v>
      </c>
      <c r="AN12" s="88"/>
      <c r="AO12" s="92">
        <v>463</v>
      </c>
      <c r="AP12" s="88">
        <f>34+AP11</f>
        <v>169</v>
      </c>
      <c r="AQ12" s="88">
        <v>1589</v>
      </c>
      <c r="AR12" s="88"/>
      <c r="AS12" s="88">
        <v>959</v>
      </c>
      <c r="AT12" s="88">
        <v>1074</v>
      </c>
      <c r="AU12" s="88">
        <f>AU11+252</f>
        <v>959</v>
      </c>
      <c r="AV12" s="88"/>
      <c r="AW12" s="88">
        <v>527</v>
      </c>
      <c r="AX12" s="88">
        <v>391</v>
      </c>
      <c r="AY12" s="88">
        <v>1031</v>
      </c>
      <c r="AZ12" s="88"/>
      <c r="BA12" s="97">
        <v>459</v>
      </c>
      <c r="BB12" s="97">
        <v>3</v>
      </c>
      <c r="BC12" s="97">
        <v>563</v>
      </c>
      <c r="BD12" s="88"/>
      <c r="BE12" s="88">
        <v>1846</v>
      </c>
      <c r="BF12" s="88">
        <v>37</v>
      </c>
      <c r="BG12" s="88">
        <v>582</v>
      </c>
      <c r="BH12" s="88"/>
      <c r="BI12" s="88">
        <v>1387</v>
      </c>
      <c r="BJ12" s="88">
        <v>46</v>
      </c>
      <c r="BK12" s="88">
        <v>461</v>
      </c>
      <c r="BL12" s="88"/>
      <c r="BM12" s="88">
        <v>1473</v>
      </c>
      <c r="BN12" s="88">
        <v>73</v>
      </c>
      <c r="BO12" s="88">
        <v>672</v>
      </c>
      <c r="BP12" s="95"/>
      <c r="BQ12" s="88">
        <v>107</v>
      </c>
      <c r="BR12" s="88">
        <v>67</v>
      </c>
      <c r="BS12" s="88">
        <v>198</v>
      </c>
      <c r="BU12" s="97">
        <v>3370</v>
      </c>
      <c r="BV12" s="97">
        <v>194</v>
      </c>
      <c r="BW12" s="97">
        <v>336</v>
      </c>
      <c r="BY12" s="88">
        <v>1104</v>
      </c>
      <c r="BZ12" s="88">
        <v>751</v>
      </c>
      <c r="CA12" s="88">
        <v>179</v>
      </c>
      <c r="CC12" s="88">
        <v>787</v>
      </c>
      <c r="CD12" s="40">
        <v>105</v>
      </c>
      <c r="CE12" s="40">
        <v>347</v>
      </c>
      <c r="CF12" s="95"/>
      <c r="CG12" s="60">
        <v>634</v>
      </c>
      <c r="CH12" s="60">
        <v>12</v>
      </c>
      <c r="CI12" s="60">
        <v>607</v>
      </c>
    </row>
    <row r="13" spans="1:92" x14ac:dyDescent="0.2">
      <c r="A13" s="40">
        <f t="shared" si="0"/>
        <v>43</v>
      </c>
      <c r="B13" s="87">
        <f t="shared" si="1"/>
        <v>40473</v>
      </c>
      <c r="C13" s="40" t="s">
        <v>79</v>
      </c>
      <c r="D13" s="87">
        <f t="shared" si="2"/>
        <v>40479</v>
      </c>
      <c r="E13" s="88">
        <v>2062</v>
      </c>
      <c r="F13" s="88">
        <v>978</v>
      </c>
      <c r="G13" s="88">
        <v>1988</v>
      </c>
      <c r="H13" s="88"/>
      <c r="I13" s="88">
        <v>1403</v>
      </c>
      <c r="J13" s="88">
        <v>687</v>
      </c>
      <c r="K13" s="88">
        <v>2094</v>
      </c>
      <c r="L13" s="88"/>
      <c r="M13" s="88">
        <v>1133</v>
      </c>
      <c r="N13" s="88">
        <v>230</v>
      </c>
      <c r="O13" s="88">
        <v>3296</v>
      </c>
      <c r="P13" s="88"/>
      <c r="Q13" s="88">
        <v>1022</v>
      </c>
      <c r="R13" s="88">
        <v>84</v>
      </c>
      <c r="S13" s="88">
        <v>4897</v>
      </c>
      <c r="T13" s="88"/>
      <c r="U13" s="88">
        <v>2024</v>
      </c>
      <c r="V13" s="88">
        <v>439</v>
      </c>
      <c r="W13" s="88">
        <v>896</v>
      </c>
      <c r="X13" s="88"/>
      <c r="Y13" s="88">
        <v>1126</v>
      </c>
      <c r="Z13" s="88">
        <v>170</v>
      </c>
      <c r="AA13" s="88">
        <v>1396</v>
      </c>
      <c r="AB13" s="88"/>
      <c r="AC13" s="98"/>
      <c r="AD13" s="98"/>
      <c r="AE13" s="98"/>
      <c r="AF13" s="98"/>
      <c r="AG13" s="88">
        <v>1534</v>
      </c>
      <c r="AH13" s="88">
        <v>325</v>
      </c>
      <c r="AI13" s="88">
        <v>1530</v>
      </c>
      <c r="AJ13" s="88"/>
      <c r="AK13" s="88">
        <f>109+AK12</f>
        <v>2460</v>
      </c>
      <c r="AL13" s="88">
        <f>8+AL12</f>
        <v>561</v>
      </c>
      <c r="AM13" s="88">
        <v>3194</v>
      </c>
      <c r="AN13" s="88"/>
      <c r="AO13" s="92">
        <v>512</v>
      </c>
      <c r="AP13" s="88">
        <f>123+AP12</f>
        <v>292</v>
      </c>
      <c r="AQ13" s="88">
        <v>1659</v>
      </c>
      <c r="AR13" s="88"/>
      <c r="AS13" s="88">
        <v>972</v>
      </c>
      <c r="AT13" s="88">
        <v>1092</v>
      </c>
      <c r="AU13" s="88">
        <f>AU12+129</f>
        <v>1088</v>
      </c>
      <c r="AV13" s="88"/>
      <c r="AW13" s="88">
        <v>615</v>
      </c>
      <c r="AX13" s="88">
        <v>424</v>
      </c>
      <c r="AY13" s="88">
        <v>1067</v>
      </c>
      <c r="AZ13" s="88"/>
      <c r="BA13" s="91"/>
      <c r="BB13" s="88"/>
      <c r="BC13" s="88"/>
      <c r="BD13" s="88"/>
      <c r="BE13" s="88">
        <v>1879</v>
      </c>
      <c r="BF13" s="88">
        <v>40</v>
      </c>
      <c r="BG13" s="88">
        <v>734</v>
      </c>
      <c r="BH13" s="88"/>
      <c r="BI13" s="88">
        <v>1490</v>
      </c>
      <c r="BJ13" s="88">
        <v>55</v>
      </c>
      <c r="BK13" s="88">
        <v>467</v>
      </c>
      <c r="BL13" s="88"/>
      <c r="BM13" s="88">
        <v>1501</v>
      </c>
      <c r="BN13" s="88">
        <v>93</v>
      </c>
      <c r="BO13" s="88">
        <v>691</v>
      </c>
      <c r="BP13" s="95"/>
      <c r="BQ13" s="88">
        <v>119</v>
      </c>
      <c r="BR13" s="88">
        <v>69</v>
      </c>
      <c r="BS13" s="88">
        <v>199</v>
      </c>
      <c r="BU13" s="56" t="s">
        <v>85</v>
      </c>
      <c r="BV13" s="40"/>
      <c r="BW13" s="40"/>
      <c r="BY13" s="88">
        <v>1135</v>
      </c>
      <c r="BZ13" s="88">
        <v>791</v>
      </c>
      <c r="CA13" s="88">
        <v>199</v>
      </c>
      <c r="CC13" s="88">
        <v>811</v>
      </c>
      <c r="CD13" s="40">
        <v>108</v>
      </c>
      <c r="CE13" s="40">
        <v>353</v>
      </c>
      <c r="CF13" s="95"/>
      <c r="CG13" s="60">
        <v>699</v>
      </c>
      <c r="CH13" s="60">
        <v>18</v>
      </c>
      <c r="CI13" s="60">
        <v>644</v>
      </c>
    </row>
    <row r="14" spans="1:92" ht="13.5" thickBot="1" x14ac:dyDescent="0.25">
      <c r="A14" s="40">
        <f t="shared" si="0"/>
        <v>44</v>
      </c>
      <c r="B14" s="87">
        <f t="shared" si="1"/>
        <v>40480</v>
      </c>
      <c r="C14" s="40" t="s">
        <v>79</v>
      </c>
      <c r="D14" s="87">
        <f t="shared" si="2"/>
        <v>40486</v>
      </c>
      <c r="E14" s="88">
        <v>2079</v>
      </c>
      <c r="F14" s="88">
        <v>989</v>
      </c>
      <c r="G14" s="88">
        <v>2006</v>
      </c>
      <c r="H14" s="88"/>
      <c r="I14" s="97">
        <v>1426</v>
      </c>
      <c r="J14" s="97">
        <v>772</v>
      </c>
      <c r="K14" s="97">
        <v>2219</v>
      </c>
      <c r="L14" s="88"/>
      <c r="M14" s="88">
        <v>1173</v>
      </c>
      <c r="N14" s="88">
        <v>235</v>
      </c>
      <c r="O14" s="88">
        <v>3455</v>
      </c>
      <c r="P14" s="88"/>
      <c r="Q14" s="88">
        <v>1031</v>
      </c>
      <c r="R14" s="88">
        <v>88</v>
      </c>
      <c r="S14" s="88">
        <v>5018</v>
      </c>
      <c r="T14" s="88"/>
      <c r="U14" s="88">
        <v>2122</v>
      </c>
      <c r="V14" s="88">
        <v>447</v>
      </c>
      <c r="W14" s="88">
        <v>901</v>
      </c>
      <c r="X14" s="88"/>
      <c r="Y14" s="88">
        <v>1144</v>
      </c>
      <c r="Z14" s="88">
        <v>178</v>
      </c>
      <c r="AA14" s="88">
        <v>1405</v>
      </c>
      <c r="AB14" s="88"/>
      <c r="AC14" s="88"/>
      <c r="AD14" s="88"/>
      <c r="AE14" s="88"/>
      <c r="AF14" s="88"/>
      <c r="AG14" s="88">
        <v>1579</v>
      </c>
      <c r="AH14" s="88">
        <v>348</v>
      </c>
      <c r="AI14" s="88">
        <v>1557</v>
      </c>
      <c r="AJ14" s="88"/>
      <c r="AK14" s="88">
        <f>93+AK13</f>
        <v>2553</v>
      </c>
      <c r="AL14" s="88">
        <f>19+AL13</f>
        <v>580</v>
      </c>
      <c r="AM14" s="88">
        <v>3558</v>
      </c>
      <c r="AN14" s="88"/>
      <c r="AO14" s="92">
        <v>546</v>
      </c>
      <c r="AP14" s="88">
        <f>73+AP13</f>
        <v>365</v>
      </c>
      <c r="AQ14" s="88">
        <v>1692</v>
      </c>
      <c r="AR14" s="88"/>
      <c r="AS14" s="88">
        <v>978</v>
      </c>
      <c r="AT14" s="88">
        <v>1094</v>
      </c>
      <c r="AU14" s="88">
        <f>AU13+6</f>
        <v>1094</v>
      </c>
      <c r="AV14" s="88"/>
      <c r="AW14" s="88">
        <v>698</v>
      </c>
      <c r="AX14" s="88">
        <v>454</v>
      </c>
      <c r="AY14" s="88">
        <v>1185</v>
      </c>
      <c r="AZ14" s="88"/>
      <c r="BA14" s="91"/>
      <c r="BB14" s="88"/>
      <c r="BC14" s="88"/>
      <c r="BD14" s="88"/>
      <c r="BE14" s="88">
        <v>1891</v>
      </c>
      <c r="BF14" s="88">
        <v>63</v>
      </c>
      <c r="BG14" s="88">
        <v>739</v>
      </c>
      <c r="BH14" s="88"/>
      <c r="BI14" s="88">
        <v>1527</v>
      </c>
      <c r="BJ14" s="88">
        <v>66</v>
      </c>
      <c r="BK14" s="88">
        <v>525</v>
      </c>
      <c r="BL14" s="88"/>
      <c r="BM14" s="88">
        <v>1502</v>
      </c>
      <c r="BN14" s="88">
        <v>94</v>
      </c>
      <c r="BO14" s="88">
        <v>693</v>
      </c>
      <c r="BP14" s="95"/>
      <c r="BQ14" s="88">
        <v>130</v>
      </c>
      <c r="BR14" s="88">
        <v>69</v>
      </c>
      <c r="BS14" s="88">
        <v>199</v>
      </c>
      <c r="BU14" s="40"/>
      <c r="BV14" s="40"/>
      <c r="BW14" s="40"/>
      <c r="BY14" s="88">
        <v>1194</v>
      </c>
      <c r="BZ14" s="88">
        <v>807</v>
      </c>
      <c r="CA14" s="60">
        <v>247</v>
      </c>
      <c r="CC14" s="88">
        <v>824</v>
      </c>
      <c r="CD14" s="193" t="s">
        <v>79</v>
      </c>
      <c r="CE14" s="40">
        <v>354</v>
      </c>
      <c r="CF14" s="95"/>
      <c r="CG14" s="60">
        <v>718</v>
      </c>
      <c r="CH14" s="60">
        <v>24</v>
      </c>
      <c r="CI14" s="60">
        <v>703</v>
      </c>
    </row>
    <row r="15" spans="1:92" ht="13.5" thickBot="1" x14ac:dyDescent="0.25">
      <c r="A15" s="40">
        <f t="shared" si="0"/>
        <v>45</v>
      </c>
      <c r="B15" s="87">
        <f t="shared" si="1"/>
        <v>40487</v>
      </c>
      <c r="C15" s="40" t="s">
        <v>79</v>
      </c>
      <c r="D15" s="87">
        <f t="shared" si="2"/>
        <v>40493</v>
      </c>
      <c r="E15" s="88">
        <v>2118</v>
      </c>
      <c r="F15" s="88">
        <v>998</v>
      </c>
      <c r="G15" s="88">
        <v>2025</v>
      </c>
      <c r="H15" s="88"/>
      <c r="I15" s="88"/>
      <c r="J15" s="88"/>
      <c r="K15" s="88"/>
      <c r="L15" s="88"/>
      <c r="M15" s="91">
        <v>1181</v>
      </c>
      <c r="N15" s="91">
        <v>247</v>
      </c>
      <c r="O15" s="91">
        <v>3880</v>
      </c>
      <c r="P15" s="88"/>
      <c r="Q15" s="91">
        <v>1039</v>
      </c>
      <c r="R15" s="91">
        <v>88</v>
      </c>
      <c r="S15" s="91">
        <v>5026</v>
      </c>
      <c r="T15" s="88"/>
      <c r="U15" s="88">
        <v>2122</v>
      </c>
      <c r="V15" s="88">
        <v>447</v>
      </c>
      <c r="W15" s="88">
        <v>901</v>
      </c>
      <c r="X15" s="88"/>
      <c r="Y15" s="88">
        <v>1180</v>
      </c>
      <c r="Z15" s="88">
        <v>197</v>
      </c>
      <c r="AA15" s="88">
        <v>1657</v>
      </c>
      <c r="AB15" s="88"/>
      <c r="AC15" s="88"/>
      <c r="AD15" s="88"/>
      <c r="AE15" s="88"/>
      <c r="AF15" s="88"/>
      <c r="AG15" s="88">
        <v>1600</v>
      </c>
      <c r="AH15" s="88">
        <v>359</v>
      </c>
      <c r="AI15" s="88">
        <v>1613</v>
      </c>
      <c r="AJ15" s="88"/>
      <c r="AK15" s="88">
        <f>28+AK14</f>
        <v>2581</v>
      </c>
      <c r="AL15" s="88">
        <v>587</v>
      </c>
      <c r="AM15" s="88">
        <v>3610</v>
      </c>
      <c r="AN15" s="88"/>
      <c r="AO15" s="92">
        <v>607</v>
      </c>
      <c r="AP15" s="88">
        <f>29+AP14</f>
        <v>394</v>
      </c>
      <c r="AQ15" s="88">
        <v>1721</v>
      </c>
      <c r="AR15" s="88"/>
      <c r="AS15" s="88">
        <v>1018</v>
      </c>
      <c r="AT15" s="88">
        <v>1095</v>
      </c>
      <c r="AU15" s="88">
        <f>AU14+9</f>
        <v>1103</v>
      </c>
      <c r="AV15" s="88"/>
      <c r="AW15" s="88">
        <v>744</v>
      </c>
      <c r="AX15" s="88">
        <v>471</v>
      </c>
      <c r="AY15" s="88">
        <v>1214</v>
      </c>
      <c r="AZ15" s="88"/>
      <c r="BA15" s="91"/>
      <c r="BB15" s="88"/>
      <c r="BC15" s="88"/>
      <c r="BD15" s="88"/>
      <c r="BE15" s="97">
        <v>1895</v>
      </c>
      <c r="BF15" s="97">
        <v>66</v>
      </c>
      <c r="BG15" s="97">
        <v>746</v>
      </c>
      <c r="BH15" s="91"/>
      <c r="BI15" s="91">
        <v>1561</v>
      </c>
      <c r="BJ15" s="91">
        <v>70</v>
      </c>
      <c r="BK15" s="91">
        <v>530</v>
      </c>
      <c r="BL15" s="91"/>
      <c r="BM15" s="88">
        <v>1527</v>
      </c>
      <c r="BN15" s="88">
        <v>128</v>
      </c>
      <c r="BO15" s="88">
        <v>696</v>
      </c>
      <c r="BP15" s="95"/>
      <c r="BQ15" s="88">
        <v>139</v>
      </c>
      <c r="BR15" s="88">
        <v>70</v>
      </c>
      <c r="BS15" s="88">
        <v>200</v>
      </c>
      <c r="BU15" s="40"/>
      <c r="BV15" s="40"/>
      <c r="BW15" s="40"/>
      <c r="BY15" s="88">
        <v>1235</v>
      </c>
      <c r="BZ15" s="88">
        <v>836</v>
      </c>
      <c r="CA15" s="88">
        <v>484</v>
      </c>
      <c r="CC15" s="88">
        <v>825</v>
      </c>
      <c r="CD15" s="40">
        <v>114</v>
      </c>
      <c r="CE15" s="40">
        <v>367</v>
      </c>
      <c r="CF15" s="95"/>
      <c r="CG15" s="38">
        <v>720</v>
      </c>
      <c r="CH15" s="38">
        <v>26</v>
      </c>
      <c r="CI15" s="38">
        <v>713</v>
      </c>
    </row>
    <row r="16" spans="1:92" ht="13.5" thickBot="1" x14ac:dyDescent="0.25">
      <c r="A16" s="40">
        <f t="shared" si="0"/>
        <v>46</v>
      </c>
      <c r="B16" s="87">
        <f t="shared" si="1"/>
        <v>40494</v>
      </c>
      <c r="C16" s="40" t="s">
        <v>79</v>
      </c>
      <c r="D16" s="87">
        <f t="shared" si="2"/>
        <v>40500</v>
      </c>
      <c r="E16" s="91">
        <v>2139</v>
      </c>
      <c r="F16" s="91">
        <v>1010</v>
      </c>
      <c r="G16" s="91">
        <v>2034</v>
      </c>
      <c r="H16" s="88"/>
      <c r="I16" s="88"/>
      <c r="J16" s="88"/>
      <c r="K16" s="88"/>
      <c r="L16" s="88"/>
      <c r="M16" s="97">
        <v>1181</v>
      </c>
      <c r="N16" s="97">
        <v>249</v>
      </c>
      <c r="O16" s="97">
        <v>3884</v>
      </c>
      <c r="P16" s="88"/>
      <c r="Q16" s="97">
        <v>1056</v>
      </c>
      <c r="R16" s="97">
        <v>97</v>
      </c>
      <c r="S16" s="97">
        <v>5189</v>
      </c>
      <c r="T16" s="88"/>
      <c r="U16" s="88">
        <v>2128</v>
      </c>
      <c r="V16" s="88">
        <v>447</v>
      </c>
      <c r="W16" s="88">
        <v>906</v>
      </c>
      <c r="X16" s="88"/>
      <c r="Y16" s="88">
        <v>1191</v>
      </c>
      <c r="Z16" s="88">
        <v>201</v>
      </c>
      <c r="AA16" s="88">
        <v>1670</v>
      </c>
      <c r="AB16" s="88"/>
      <c r="AC16" s="88"/>
      <c r="AD16" s="88"/>
      <c r="AE16" s="88"/>
      <c r="AF16" s="88"/>
      <c r="AG16" s="88">
        <v>1675</v>
      </c>
      <c r="AH16" s="88">
        <v>362</v>
      </c>
      <c r="AI16" s="88">
        <v>1654</v>
      </c>
      <c r="AJ16" s="88"/>
      <c r="AK16" s="97">
        <f>28+AK15</f>
        <v>2609</v>
      </c>
      <c r="AL16" s="97">
        <v>589</v>
      </c>
      <c r="AM16" s="97">
        <v>3616</v>
      </c>
      <c r="AN16" s="98"/>
      <c r="AO16" s="92">
        <v>710</v>
      </c>
      <c r="AP16" s="88">
        <f>56+AP15</f>
        <v>450</v>
      </c>
      <c r="AQ16" s="88">
        <v>1752</v>
      </c>
      <c r="AR16" s="88"/>
      <c r="AS16" s="88">
        <v>1072</v>
      </c>
      <c r="AT16" s="88">
        <v>1095</v>
      </c>
      <c r="AU16" s="88">
        <f>AU15+8</f>
        <v>1111</v>
      </c>
      <c r="AV16" s="99"/>
      <c r="AW16" s="88">
        <v>831</v>
      </c>
      <c r="AX16" s="88">
        <v>483</v>
      </c>
      <c r="AY16" s="88">
        <v>1248</v>
      </c>
      <c r="AZ16" s="88"/>
      <c r="BA16" s="100" t="s">
        <v>86</v>
      </c>
      <c r="BB16" s="88"/>
      <c r="BC16" s="88"/>
      <c r="BD16" s="88"/>
      <c r="BE16" s="99"/>
      <c r="BF16" s="99"/>
      <c r="BG16" s="99"/>
      <c r="BH16" s="99"/>
      <c r="BI16" s="91">
        <v>1570</v>
      </c>
      <c r="BJ16" s="91">
        <v>71</v>
      </c>
      <c r="BK16" s="91">
        <v>532</v>
      </c>
      <c r="BL16" s="91"/>
      <c r="BM16" s="88">
        <v>1579</v>
      </c>
      <c r="BN16" s="88">
        <v>155</v>
      </c>
      <c r="BO16" s="88">
        <v>712</v>
      </c>
      <c r="BP16" s="95"/>
      <c r="BQ16" s="97">
        <v>144</v>
      </c>
      <c r="BR16" s="97">
        <v>71</v>
      </c>
      <c r="BS16" s="97">
        <v>225</v>
      </c>
      <c r="BU16" s="40"/>
      <c r="BV16" s="40"/>
      <c r="BW16" s="40"/>
      <c r="BY16" s="101">
        <v>1237</v>
      </c>
      <c r="BZ16" s="101">
        <v>838</v>
      </c>
      <c r="CA16" s="38">
        <v>486</v>
      </c>
      <c r="CC16" s="101">
        <v>825</v>
      </c>
      <c r="CD16" s="39">
        <v>114</v>
      </c>
      <c r="CE16" s="39">
        <v>369</v>
      </c>
      <c r="CF16" s="95"/>
      <c r="CG16" s="99"/>
      <c r="CH16" s="36"/>
      <c r="CI16" s="36"/>
    </row>
    <row r="17" spans="1:86" ht="13.5" thickBot="1" x14ac:dyDescent="0.25">
      <c r="A17" s="40">
        <f t="shared" si="0"/>
        <v>47</v>
      </c>
      <c r="B17" s="87">
        <f t="shared" si="1"/>
        <v>40501</v>
      </c>
      <c r="C17" s="40" t="s">
        <v>79</v>
      </c>
      <c r="D17" s="87">
        <f t="shared" si="2"/>
        <v>40507</v>
      </c>
      <c r="E17" s="97">
        <v>2140</v>
      </c>
      <c r="F17" s="97">
        <v>1010</v>
      </c>
      <c r="G17" s="97">
        <v>2034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97">
        <v>2143</v>
      </c>
      <c r="V17" s="97">
        <v>448</v>
      </c>
      <c r="W17" s="97">
        <v>919</v>
      </c>
      <c r="X17" s="88"/>
      <c r="Y17" s="97">
        <v>1191</v>
      </c>
      <c r="Z17" s="97">
        <v>202</v>
      </c>
      <c r="AA17" s="97">
        <v>1677</v>
      </c>
      <c r="AB17" s="88"/>
      <c r="AC17" s="88"/>
      <c r="AD17" s="88"/>
      <c r="AE17" s="88"/>
      <c r="AF17" s="88"/>
      <c r="AG17" s="97">
        <v>1677</v>
      </c>
      <c r="AH17" s="97">
        <v>362</v>
      </c>
      <c r="AI17" s="97">
        <v>1654</v>
      </c>
      <c r="AJ17" s="88"/>
      <c r="AK17" s="91"/>
      <c r="AL17" s="91"/>
      <c r="AM17" s="91"/>
      <c r="AN17" s="88"/>
      <c r="AO17" s="92">
        <v>805</v>
      </c>
      <c r="AP17" s="88">
        <v>559</v>
      </c>
      <c r="AQ17" s="88">
        <v>2120</v>
      </c>
      <c r="AR17" s="88"/>
      <c r="AS17" s="101">
        <v>1095</v>
      </c>
      <c r="AT17" s="101">
        <v>1095</v>
      </c>
      <c r="AU17" s="101">
        <f>AU16+1</f>
        <v>1112</v>
      </c>
      <c r="AV17" s="88"/>
      <c r="AW17" s="88">
        <v>873</v>
      </c>
      <c r="AX17" s="88">
        <v>492</v>
      </c>
      <c r="AY17" s="88">
        <v>1280</v>
      </c>
      <c r="AZ17" s="88"/>
      <c r="BA17" s="100" t="s">
        <v>87</v>
      </c>
      <c r="BB17" s="88"/>
      <c r="BC17" s="88"/>
      <c r="BD17" s="88"/>
      <c r="BE17" s="91"/>
      <c r="BF17" s="91"/>
      <c r="BG17" s="91"/>
      <c r="BH17" s="91"/>
      <c r="BI17" s="97">
        <v>1574</v>
      </c>
      <c r="BJ17" s="97">
        <v>71</v>
      </c>
      <c r="BK17" s="97">
        <v>532</v>
      </c>
      <c r="BL17" s="99"/>
      <c r="BM17" s="88">
        <v>1588</v>
      </c>
      <c r="BN17" s="88">
        <v>156</v>
      </c>
      <c r="BO17" s="88">
        <v>715</v>
      </c>
      <c r="BP17" s="95"/>
      <c r="BQ17" s="88"/>
      <c r="BR17" s="88"/>
      <c r="BS17" s="88"/>
      <c r="CC17" s="98"/>
      <c r="CD17" s="36"/>
      <c r="CE17" s="36"/>
      <c r="CF17" s="33"/>
      <c r="CG17" s="33"/>
      <c r="CH17" s="33"/>
    </row>
    <row r="18" spans="1:86" ht="13.5" thickBot="1" x14ac:dyDescent="0.25">
      <c r="A18" s="40">
        <f t="shared" si="0"/>
        <v>48</v>
      </c>
      <c r="B18" s="87">
        <f t="shared" si="1"/>
        <v>40508</v>
      </c>
      <c r="C18" s="40" t="s">
        <v>79</v>
      </c>
      <c r="D18" s="87">
        <f t="shared" si="2"/>
        <v>40514</v>
      </c>
      <c r="E18" s="88"/>
      <c r="F18" s="88"/>
      <c r="G18" s="88" t="s">
        <v>88</v>
      </c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98"/>
      <c r="AH18" s="98"/>
      <c r="AI18" s="98"/>
      <c r="AJ18" s="88"/>
      <c r="AK18" s="91"/>
      <c r="AL18" s="91"/>
      <c r="AM18" s="91"/>
      <c r="AN18" s="88"/>
      <c r="AO18" s="92">
        <v>816</v>
      </c>
      <c r="AP18" s="91">
        <v>564</v>
      </c>
      <c r="AQ18" s="88">
        <v>2132</v>
      </c>
      <c r="AR18" s="88"/>
      <c r="AS18" s="88"/>
      <c r="AT18" s="88"/>
      <c r="AU18" s="88"/>
      <c r="AV18" s="88"/>
      <c r="AW18" s="101">
        <v>875</v>
      </c>
      <c r="AX18" s="101">
        <v>494</v>
      </c>
      <c r="AY18" s="101">
        <v>1280</v>
      </c>
      <c r="AZ18" s="99"/>
      <c r="BA18" s="100" t="s">
        <v>89</v>
      </c>
      <c r="BB18" s="91"/>
      <c r="BC18" s="88"/>
      <c r="BD18" s="88"/>
      <c r="BE18" s="91"/>
      <c r="BF18" s="91"/>
      <c r="BG18" s="91"/>
      <c r="BH18" s="91"/>
      <c r="BI18" s="99"/>
      <c r="BJ18" s="99"/>
      <c r="BK18" s="99"/>
      <c r="BL18" s="99"/>
      <c r="BM18" s="97">
        <v>1589</v>
      </c>
      <c r="BN18" s="97">
        <v>156</v>
      </c>
      <c r="BO18" s="97">
        <v>718</v>
      </c>
      <c r="BP18" s="95"/>
      <c r="BQ18" s="99"/>
      <c r="BR18" s="99"/>
      <c r="BS18" s="99"/>
    </row>
    <row r="19" spans="1:86" ht="13.5" thickBot="1" x14ac:dyDescent="0.25">
      <c r="A19" s="40">
        <f t="shared" si="0"/>
        <v>49</v>
      </c>
      <c r="B19" s="87">
        <f t="shared" si="1"/>
        <v>40515</v>
      </c>
      <c r="C19" s="40" t="s">
        <v>79</v>
      </c>
      <c r="D19" s="87">
        <f t="shared" si="2"/>
        <v>40521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98"/>
      <c r="AH19" s="98"/>
      <c r="AI19" s="98"/>
      <c r="AJ19" s="88"/>
      <c r="AK19" s="88"/>
      <c r="AL19" s="88"/>
      <c r="AM19" s="88"/>
      <c r="AN19" s="88"/>
      <c r="AO19" s="97">
        <v>822</v>
      </c>
      <c r="AP19" s="97">
        <v>571</v>
      </c>
      <c r="AQ19" s="97">
        <v>2145</v>
      </c>
      <c r="AR19" s="88"/>
      <c r="AS19" s="88"/>
      <c r="AT19" s="88"/>
      <c r="AU19" s="88"/>
      <c r="AV19" s="88"/>
      <c r="AW19" s="88"/>
      <c r="AX19" s="88"/>
      <c r="AY19" s="88"/>
      <c r="AZ19" s="88"/>
      <c r="BA19" s="91"/>
      <c r="BB19" s="91"/>
      <c r="BC19" s="91"/>
      <c r="BD19" s="88"/>
      <c r="BE19" s="91"/>
      <c r="BF19" s="91"/>
      <c r="BG19" s="91"/>
      <c r="BH19" s="91"/>
      <c r="BI19" s="91"/>
      <c r="BJ19" s="91"/>
      <c r="BK19" s="91"/>
      <c r="BL19" s="91"/>
      <c r="BM19" s="88"/>
      <c r="BN19" s="88"/>
      <c r="BO19" s="88"/>
    </row>
    <row r="20" spans="1:86" x14ac:dyDescent="0.2">
      <c r="A20" s="40">
        <f t="shared" si="0"/>
        <v>50</v>
      </c>
      <c r="B20" s="87">
        <f t="shared" si="1"/>
        <v>40522</v>
      </c>
      <c r="C20" s="40" t="s">
        <v>79</v>
      </c>
      <c r="D20" s="87">
        <f t="shared" si="2"/>
        <v>40528</v>
      </c>
      <c r="AO20" s="33"/>
      <c r="AP20" s="36"/>
      <c r="AQ20" s="36"/>
      <c r="BA20" s="40"/>
      <c r="BB20" s="36"/>
      <c r="BC20" s="36"/>
    </row>
    <row r="21" spans="1:86" x14ac:dyDescent="0.2">
      <c r="AO21" s="40"/>
      <c r="AP21" s="36"/>
      <c r="AQ21" s="36"/>
      <c r="BA21" s="102" t="s">
        <v>90</v>
      </c>
      <c r="BB21" s="36"/>
      <c r="BC21" s="36"/>
    </row>
    <row r="22" spans="1:86" x14ac:dyDescent="0.2">
      <c r="AO22" s="36"/>
      <c r="AP22" s="36"/>
      <c r="AQ22" s="36"/>
      <c r="BA22" s="36"/>
      <c r="BB22" s="36"/>
      <c r="BC22" s="36"/>
    </row>
    <row r="23" spans="1:86" x14ac:dyDescent="0.2">
      <c r="A23" s="33" t="s">
        <v>91</v>
      </c>
      <c r="AO23" s="36"/>
      <c r="BA23" s="36"/>
      <c r="BC23" s="40"/>
    </row>
    <row r="25" spans="1:86" x14ac:dyDescent="0.2">
      <c r="A25" s="40"/>
    </row>
    <row r="26" spans="1:86" x14ac:dyDescent="0.2">
      <c r="A26" s="63"/>
      <c r="B26" s="84"/>
      <c r="C26" s="84"/>
      <c r="D26" s="84"/>
    </row>
    <row r="27" spans="1:86" x14ac:dyDescent="0.2">
      <c r="A27" s="40"/>
      <c r="B27" s="87"/>
      <c r="C27" s="40"/>
      <c r="D27" s="87"/>
      <c r="F27" s="71"/>
      <c r="G27" s="71"/>
    </row>
    <row r="28" spans="1:86" x14ac:dyDescent="0.2">
      <c r="A28" s="40"/>
      <c r="B28" s="87"/>
      <c r="C28" s="40"/>
      <c r="D28" s="87"/>
      <c r="F28" s="71"/>
      <c r="G28" s="71"/>
    </row>
    <row r="29" spans="1:86" x14ac:dyDescent="0.2">
      <c r="A29" s="40"/>
      <c r="B29" s="87"/>
      <c r="C29" s="40"/>
      <c r="D29" s="87"/>
      <c r="F29" s="71"/>
      <c r="G29" s="71"/>
    </row>
    <row r="30" spans="1:86" x14ac:dyDescent="0.2">
      <c r="A30" s="40"/>
      <c r="B30" s="87"/>
      <c r="C30" s="40"/>
      <c r="D30" s="87"/>
      <c r="E30" s="71"/>
      <c r="F30" s="71"/>
      <c r="G30" s="71"/>
    </row>
    <row r="31" spans="1:86" x14ac:dyDescent="0.2">
      <c r="A31" s="40"/>
      <c r="B31" s="87"/>
      <c r="C31" s="40"/>
      <c r="D31" s="87"/>
      <c r="E31" s="71"/>
      <c r="F31" s="71"/>
      <c r="G31" s="71"/>
    </row>
    <row r="32" spans="1:86" x14ac:dyDescent="0.2">
      <c r="A32" s="40"/>
      <c r="B32" s="87"/>
      <c r="C32" s="40"/>
      <c r="D32" s="87"/>
      <c r="E32" s="71"/>
      <c r="F32" s="71"/>
      <c r="G32" s="71"/>
    </row>
    <row r="33" spans="1:7" x14ac:dyDescent="0.2">
      <c r="A33" s="40"/>
      <c r="B33" s="87"/>
      <c r="C33" s="40"/>
      <c r="D33" s="87"/>
      <c r="E33" s="71"/>
      <c r="F33" s="71"/>
      <c r="G33" s="71"/>
    </row>
    <row r="34" spans="1:7" x14ac:dyDescent="0.2">
      <c r="A34" s="40"/>
      <c r="B34" s="87"/>
      <c r="C34" s="40"/>
      <c r="D34" s="87"/>
      <c r="E34" s="71"/>
      <c r="F34" s="71"/>
      <c r="G34" s="71"/>
    </row>
    <row r="35" spans="1:7" x14ac:dyDescent="0.2">
      <c r="A35" s="40"/>
      <c r="B35" s="87"/>
      <c r="C35" s="40"/>
      <c r="D35" s="87"/>
      <c r="E35" s="71"/>
      <c r="F35" s="71"/>
      <c r="G35" s="71"/>
    </row>
    <row r="36" spans="1:7" x14ac:dyDescent="0.2">
      <c r="A36" s="40"/>
      <c r="B36" s="87"/>
      <c r="C36" s="40"/>
      <c r="D36" s="87"/>
      <c r="E36" s="71"/>
      <c r="F36" s="71"/>
      <c r="G36" s="71"/>
    </row>
    <row r="37" spans="1:7" x14ac:dyDescent="0.2">
      <c r="A37" s="40"/>
      <c r="B37" s="87"/>
      <c r="C37" s="40"/>
      <c r="D37" s="87"/>
      <c r="E37" s="71"/>
      <c r="F37" s="52"/>
      <c r="G37" s="71"/>
    </row>
    <row r="38" spans="1:7" x14ac:dyDescent="0.2">
      <c r="A38" s="40"/>
      <c r="B38" s="87"/>
      <c r="C38" s="40"/>
      <c r="D38" s="87"/>
      <c r="E38" s="71"/>
      <c r="G38" s="71"/>
    </row>
    <row r="39" spans="1:7" x14ac:dyDescent="0.2">
      <c r="A39" s="40"/>
      <c r="B39" s="87"/>
      <c r="C39" s="40"/>
      <c r="D39" s="87"/>
      <c r="E39" s="71"/>
      <c r="G39" s="52"/>
    </row>
    <row r="40" spans="1:7" x14ac:dyDescent="0.2">
      <c r="A40" s="40"/>
      <c r="B40" s="87"/>
      <c r="C40" s="40"/>
      <c r="D40" s="87"/>
      <c r="E40" s="52"/>
    </row>
  </sheetData>
  <mergeCells count="8">
    <mergeCell ref="CG2:CI2"/>
    <mergeCell ref="CC2:CE2"/>
    <mergeCell ref="AW2:AY2"/>
    <mergeCell ref="BI2:BK2"/>
    <mergeCell ref="BM2:BO2"/>
    <mergeCell ref="BQ2:BS2"/>
    <mergeCell ref="BU2:BW2"/>
    <mergeCell ref="BY2:CA2"/>
  </mergeCells>
  <printOptions horizontalCentered="1"/>
  <pageMargins left="0.5" right="0.5" top="1" bottom="1" header="0.5" footer="0.5"/>
  <pageSetup scale="89" orientation="landscape" r:id="rId1"/>
  <headerFooter alignWithMargins="0"/>
  <colBreaks count="4" manualBreakCount="4">
    <brk id="16" max="40" man="1"/>
    <brk id="28" max="40" man="1"/>
    <brk id="40" max="40" man="1"/>
    <brk id="52" max="4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3CC4-3A2C-44BD-BAC0-A744B45FC0CC}">
  <dimension ref="A1:CQ38"/>
  <sheetViews>
    <sheetView workbookViewId="0">
      <pane xSplit="1" topLeftCell="BQ1" activePane="topRight" state="frozen"/>
      <selection pane="topRight" activeCell="CC20" sqref="CC20"/>
    </sheetView>
  </sheetViews>
  <sheetFormatPr defaultRowHeight="12.75" x14ac:dyDescent="0.2"/>
  <cols>
    <col min="1" max="1" width="6.7109375" customWidth="1"/>
    <col min="2" max="2" width="11" customWidth="1"/>
    <col min="3" max="3" width="1.7109375" customWidth="1"/>
    <col min="4" max="4" width="9.28515625" customWidth="1"/>
    <col min="5" max="7" width="9.85546875" customWidth="1"/>
    <col min="8" max="8" width="2.7109375" customWidth="1"/>
    <col min="9" max="11" width="9.85546875" customWidth="1"/>
    <col min="12" max="12" width="2.7109375" customWidth="1"/>
    <col min="13" max="15" width="9.85546875" customWidth="1"/>
    <col min="16" max="16" width="2.7109375" customWidth="1"/>
    <col min="17" max="19" width="9.85546875" customWidth="1"/>
    <col min="20" max="20" width="2.7109375" customWidth="1"/>
    <col min="21" max="23" width="9.85546875" customWidth="1"/>
    <col min="24" max="24" width="2.7109375" customWidth="1"/>
    <col min="25" max="27" width="9.85546875" customWidth="1"/>
    <col min="28" max="28" width="2.7109375" customWidth="1"/>
    <col min="29" max="31" width="9.85546875" customWidth="1"/>
    <col min="32" max="32" width="2.7109375" customWidth="1"/>
    <col min="33" max="34" width="9.85546875" customWidth="1"/>
    <col min="35" max="35" width="9.85546875" style="46" customWidth="1"/>
    <col min="36" max="36" width="2.7109375" customWidth="1"/>
    <col min="37" max="39" width="9.85546875" customWidth="1"/>
    <col min="40" max="40" width="2.7109375" customWidth="1"/>
    <col min="41" max="43" width="9.85546875" customWidth="1"/>
    <col min="44" max="44" width="2.7109375" customWidth="1"/>
    <col min="45" max="47" width="9.85546875" customWidth="1"/>
    <col min="48" max="48" width="2.7109375" customWidth="1"/>
    <col min="49" max="51" width="9.85546875" customWidth="1"/>
    <col min="52" max="52" width="2.85546875" customWidth="1"/>
    <col min="53" max="55" width="9.85546875" customWidth="1"/>
    <col min="56" max="56" width="3.5703125" customWidth="1"/>
    <col min="57" max="59" width="9.85546875" style="46" customWidth="1"/>
    <col min="60" max="60" width="3.5703125" style="46" customWidth="1"/>
    <col min="63" max="63" width="10.28515625" bestFit="1" customWidth="1"/>
    <col min="64" max="64" width="2.7109375" customWidth="1"/>
    <col min="67" max="67" width="10.28515625" bestFit="1" customWidth="1"/>
    <col min="68" max="68" width="2.7109375" customWidth="1"/>
    <col min="69" max="69" width="9.42578125" bestFit="1" customWidth="1"/>
    <col min="71" max="71" width="10.28515625" bestFit="1" customWidth="1"/>
    <col min="72" max="72" width="4.140625" customWidth="1"/>
    <col min="73" max="73" width="9.5703125" bestFit="1" customWidth="1"/>
    <col min="74" max="74" width="9.42578125" bestFit="1" customWidth="1"/>
    <col min="75" max="75" width="10.28515625" bestFit="1" customWidth="1"/>
    <col min="76" max="76" width="4" customWidth="1"/>
    <col min="79" max="79" width="10.28515625" bestFit="1" customWidth="1"/>
    <col min="80" max="80" width="3.7109375" customWidth="1"/>
    <col min="83" max="83" width="9.5703125" customWidth="1"/>
    <col min="84" max="84" width="3.5703125" customWidth="1"/>
    <col min="87" max="87" width="9.5703125" customWidth="1"/>
  </cols>
  <sheetData>
    <row r="1" spans="1:95" s="2" customFormat="1" x14ac:dyDescent="0.2">
      <c r="B1" s="103"/>
      <c r="C1" s="103"/>
      <c r="D1" s="103"/>
      <c r="E1" s="103" t="s">
        <v>142</v>
      </c>
      <c r="F1" s="103"/>
      <c r="G1" s="103"/>
      <c r="H1" s="103"/>
      <c r="I1" s="103"/>
      <c r="J1" s="104"/>
      <c r="K1" s="104"/>
      <c r="L1" s="104"/>
      <c r="M1" s="104"/>
      <c r="N1" s="104"/>
      <c r="O1" s="104"/>
      <c r="Q1" s="103" t="str">
        <f>E1</f>
        <v>Trinity River Hatchery, cumulative weekly trapping totals, 2004-2024.</v>
      </c>
      <c r="R1" s="103"/>
      <c r="S1" s="103"/>
      <c r="T1" s="103"/>
      <c r="U1" s="103"/>
      <c r="V1" s="103"/>
      <c r="W1" s="103"/>
      <c r="X1" s="103"/>
      <c r="Y1" s="103"/>
      <c r="Z1" s="104"/>
      <c r="AA1" s="104"/>
      <c r="AB1" s="104"/>
      <c r="AC1" s="103" t="str">
        <f>E1</f>
        <v>Trinity River Hatchery, cumulative weekly trapping totals, 2004-2024.</v>
      </c>
      <c r="AD1" s="104"/>
      <c r="AE1" s="104"/>
      <c r="AI1" s="105"/>
      <c r="AO1" s="103" t="str">
        <f>E1</f>
        <v>Trinity River Hatchery, cumulative weekly trapping totals, 2004-2024.</v>
      </c>
      <c r="AP1" s="103"/>
      <c r="AQ1" s="103"/>
      <c r="AR1" s="103"/>
      <c r="AS1" s="103"/>
      <c r="AT1" s="103"/>
      <c r="AU1" s="103"/>
      <c r="AV1" s="103"/>
      <c r="AW1" s="103"/>
      <c r="AX1" s="104"/>
      <c r="AY1" s="104"/>
      <c r="AZ1" s="104"/>
      <c r="BA1" s="103" t="str">
        <f>E1</f>
        <v>Trinity River Hatchery, cumulative weekly trapping totals, 2004-2024.</v>
      </c>
      <c r="BB1" s="104"/>
      <c r="BC1" s="104"/>
      <c r="BD1" s="104"/>
      <c r="BE1" s="105"/>
      <c r="BF1" s="105"/>
      <c r="BG1" s="105"/>
      <c r="BH1" s="105"/>
    </row>
    <row r="2" spans="1:95" s="2" customFormat="1" x14ac:dyDescent="0.2">
      <c r="B2" s="3"/>
      <c r="C2" s="3"/>
      <c r="D2" s="3"/>
      <c r="E2" s="294" t="s">
        <v>92</v>
      </c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106"/>
      <c r="Q2" s="294" t="s">
        <v>92</v>
      </c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107"/>
      <c r="AC2" s="294" t="s">
        <v>92</v>
      </c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O2" s="295" t="s">
        <v>92</v>
      </c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BE2" s="105"/>
      <c r="BF2" s="105"/>
      <c r="BG2" s="105"/>
      <c r="BH2" s="105"/>
    </row>
    <row r="3" spans="1:95" s="33" customFormat="1" x14ac:dyDescent="0.2">
      <c r="A3" s="36" t="s">
        <v>38</v>
      </c>
      <c r="E3" s="64"/>
      <c r="F3" s="64">
        <v>2004</v>
      </c>
      <c r="G3" s="64"/>
      <c r="H3" s="49"/>
      <c r="I3" s="64"/>
      <c r="J3" s="64">
        <v>2005</v>
      </c>
      <c r="K3" s="64"/>
      <c r="L3" s="49"/>
      <c r="M3" s="64"/>
      <c r="N3" s="64">
        <v>2006</v>
      </c>
      <c r="O3" s="64"/>
      <c r="P3" s="36"/>
      <c r="Q3" s="64"/>
      <c r="R3" s="64">
        <v>2007</v>
      </c>
      <c r="S3" s="64"/>
      <c r="T3" s="49"/>
      <c r="U3" s="64"/>
      <c r="V3" s="64">
        <v>2008</v>
      </c>
      <c r="W3" s="64"/>
      <c r="X3" s="49"/>
      <c r="Y3" s="64"/>
      <c r="Z3" s="64">
        <v>2009</v>
      </c>
      <c r="AA3" s="64"/>
      <c r="AB3" s="108"/>
      <c r="AC3" s="64"/>
      <c r="AD3" s="64">
        <v>2010</v>
      </c>
      <c r="AE3" s="64"/>
      <c r="AF3" s="108"/>
      <c r="AG3" s="64"/>
      <c r="AH3" s="64">
        <v>2011</v>
      </c>
      <c r="AI3" s="64"/>
      <c r="AJ3" s="108"/>
      <c r="AK3" s="64"/>
      <c r="AL3" s="64">
        <v>2012</v>
      </c>
      <c r="AM3" s="64"/>
      <c r="AN3" s="109"/>
      <c r="AO3" s="64"/>
      <c r="AP3" s="64">
        <v>2013</v>
      </c>
      <c r="AQ3" s="64"/>
      <c r="AR3" s="108"/>
      <c r="AS3" s="64"/>
      <c r="AT3" s="64">
        <v>2014</v>
      </c>
      <c r="AU3" s="64"/>
      <c r="AV3" s="110"/>
      <c r="AW3" s="64"/>
      <c r="AX3" s="64">
        <v>2015</v>
      </c>
      <c r="AY3" s="64"/>
      <c r="BA3" s="64"/>
      <c r="BB3" s="64">
        <v>2016</v>
      </c>
      <c r="BC3" s="64"/>
      <c r="BD3" s="111"/>
      <c r="BE3" s="64"/>
      <c r="BF3" s="64">
        <v>2017</v>
      </c>
      <c r="BG3" s="64"/>
      <c r="BH3" s="64"/>
      <c r="BI3" s="64"/>
      <c r="BJ3" s="64">
        <v>2018</v>
      </c>
      <c r="BK3" s="111"/>
      <c r="BM3" s="109"/>
      <c r="BN3" s="64">
        <v>2019</v>
      </c>
      <c r="BO3" s="112"/>
      <c r="BQ3" s="109"/>
      <c r="BR3" s="64">
        <v>2020</v>
      </c>
      <c r="BS3" s="112"/>
      <c r="BU3" s="113"/>
      <c r="BV3" s="49">
        <v>2021</v>
      </c>
      <c r="BW3" s="110"/>
      <c r="BX3" s="171"/>
      <c r="BY3" s="296">
        <v>2022</v>
      </c>
      <c r="BZ3" s="276"/>
      <c r="CA3" s="276"/>
      <c r="CC3" s="276">
        <v>2023</v>
      </c>
      <c r="CD3" s="276"/>
      <c r="CE3" s="276"/>
      <c r="CG3" s="276">
        <v>2024</v>
      </c>
      <c r="CH3" s="276"/>
      <c r="CI3" s="276"/>
      <c r="CK3" s="271"/>
      <c r="CL3" s="271"/>
      <c r="CM3" s="271"/>
      <c r="CO3" s="271"/>
      <c r="CP3" s="271"/>
      <c r="CQ3" s="271"/>
    </row>
    <row r="4" spans="1:95" s="33" customFormat="1" x14ac:dyDescent="0.2">
      <c r="A4" s="39" t="s">
        <v>44</v>
      </c>
      <c r="B4" s="34" t="s">
        <v>138</v>
      </c>
      <c r="C4" s="34"/>
      <c r="D4" s="34"/>
      <c r="E4" s="39" t="s">
        <v>34</v>
      </c>
      <c r="F4" s="39" t="s">
        <v>35</v>
      </c>
      <c r="G4" s="39" t="s">
        <v>36</v>
      </c>
      <c r="H4" s="36"/>
      <c r="I4" s="39" t="s">
        <v>34</v>
      </c>
      <c r="J4" s="39" t="s">
        <v>35</v>
      </c>
      <c r="K4" s="39" t="s">
        <v>36</v>
      </c>
      <c r="L4" s="36"/>
      <c r="M4" s="39" t="s">
        <v>34</v>
      </c>
      <c r="N4" s="39" t="s">
        <v>35</v>
      </c>
      <c r="O4" s="39" t="s">
        <v>36</v>
      </c>
      <c r="P4" s="39"/>
      <c r="Q4" s="39" t="s">
        <v>34</v>
      </c>
      <c r="R4" s="39" t="s">
        <v>35</v>
      </c>
      <c r="S4" s="39" t="s">
        <v>36</v>
      </c>
      <c r="T4" s="36"/>
      <c r="U4" s="39" t="s">
        <v>34</v>
      </c>
      <c r="V4" s="39" t="s">
        <v>35</v>
      </c>
      <c r="W4" s="39" t="s">
        <v>36</v>
      </c>
      <c r="X4" s="36"/>
      <c r="Y4" s="39" t="s">
        <v>34</v>
      </c>
      <c r="Z4" s="39" t="s">
        <v>35</v>
      </c>
      <c r="AA4" s="39" t="s">
        <v>36</v>
      </c>
      <c r="AC4" s="39" t="s">
        <v>34</v>
      </c>
      <c r="AD4" s="39" t="s">
        <v>35</v>
      </c>
      <c r="AE4" s="39" t="s">
        <v>36</v>
      </c>
      <c r="AG4" s="39" t="s">
        <v>34</v>
      </c>
      <c r="AH4" s="39" t="s">
        <v>35</v>
      </c>
      <c r="AI4" s="39" t="s">
        <v>36</v>
      </c>
      <c r="AK4" s="39" t="s">
        <v>34</v>
      </c>
      <c r="AL4" s="39" t="s">
        <v>35</v>
      </c>
      <c r="AM4" s="39" t="s">
        <v>36</v>
      </c>
      <c r="AN4" s="38"/>
      <c r="AO4" s="39" t="s">
        <v>34</v>
      </c>
      <c r="AP4" s="39" t="s">
        <v>35</v>
      </c>
      <c r="AQ4" s="39" t="s">
        <v>36</v>
      </c>
      <c r="AS4" s="39" t="s">
        <v>34</v>
      </c>
      <c r="AT4" s="39" t="s">
        <v>35</v>
      </c>
      <c r="AU4" s="39" t="s">
        <v>36</v>
      </c>
      <c r="AV4" s="114"/>
      <c r="AW4" s="39" t="s">
        <v>34</v>
      </c>
      <c r="AX4" s="39" t="s">
        <v>35</v>
      </c>
      <c r="AY4" s="39" t="s">
        <v>36</v>
      </c>
      <c r="BA4" s="39" t="s">
        <v>34</v>
      </c>
      <c r="BB4" s="39" t="s">
        <v>35</v>
      </c>
      <c r="BC4" s="39" t="s">
        <v>36</v>
      </c>
      <c r="BD4" s="115"/>
      <c r="BE4" s="39" t="s">
        <v>34</v>
      </c>
      <c r="BF4" s="39" t="s">
        <v>35</v>
      </c>
      <c r="BG4" s="39" t="s">
        <v>36</v>
      </c>
      <c r="BH4" s="39"/>
      <c r="BI4" s="39" t="s">
        <v>34</v>
      </c>
      <c r="BJ4" s="39" t="s">
        <v>35</v>
      </c>
      <c r="BK4" s="115" t="s">
        <v>36</v>
      </c>
      <c r="BM4" s="39" t="s">
        <v>34</v>
      </c>
      <c r="BN4" s="39" t="s">
        <v>35</v>
      </c>
      <c r="BO4" s="115" t="s">
        <v>36</v>
      </c>
      <c r="BQ4" s="39" t="s">
        <v>34</v>
      </c>
      <c r="BR4" s="39" t="s">
        <v>35</v>
      </c>
      <c r="BS4" s="115" t="s">
        <v>36</v>
      </c>
      <c r="BU4" s="116" t="s">
        <v>34</v>
      </c>
      <c r="BV4" s="64" t="s">
        <v>35</v>
      </c>
      <c r="BW4" s="111" t="s">
        <v>36</v>
      </c>
      <c r="BX4" s="171"/>
      <c r="BY4" s="64" t="s">
        <v>34</v>
      </c>
      <c r="BZ4" s="64" t="s">
        <v>35</v>
      </c>
      <c r="CA4" s="111" t="s">
        <v>36</v>
      </c>
      <c r="CC4" s="116" t="s">
        <v>34</v>
      </c>
      <c r="CD4" s="64" t="s">
        <v>35</v>
      </c>
      <c r="CE4" s="111" t="s">
        <v>36</v>
      </c>
      <c r="CG4" s="116" t="s">
        <v>34</v>
      </c>
      <c r="CH4" s="64" t="s">
        <v>35</v>
      </c>
      <c r="CI4" s="111" t="s">
        <v>36</v>
      </c>
      <c r="CK4" s="36"/>
      <c r="CL4" s="36"/>
      <c r="CM4" s="36"/>
      <c r="CO4" s="36"/>
      <c r="CP4" s="36"/>
      <c r="CQ4" s="36"/>
    </row>
    <row r="5" spans="1:95" x14ac:dyDescent="0.2">
      <c r="A5" s="46">
        <v>34</v>
      </c>
      <c r="B5" s="47">
        <v>40410</v>
      </c>
      <c r="C5" s="40" t="s">
        <v>79</v>
      </c>
      <c r="D5" s="47">
        <v>40416</v>
      </c>
      <c r="I5" s="53"/>
      <c r="J5" s="53"/>
      <c r="K5" s="53"/>
      <c r="M5" s="53"/>
      <c r="N5" s="53"/>
      <c r="O5" s="53"/>
      <c r="Q5" s="53"/>
      <c r="R5" s="53"/>
      <c r="S5" s="53"/>
      <c r="U5" s="53"/>
      <c r="V5" s="53"/>
      <c r="W5" s="53"/>
      <c r="AG5" s="46"/>
      <c r="AH5" s="46"/>
      <c r="AS5" s="40" t="s">
        <v>93</v>
      </c>
      <c r="AT5" s="46"/>
      <c r="AU5" s="46"/>
      <c r="AV5" s="117"/>
      <c r="AW5" s="71" t="s">
        <v>93</v>
      </c>
      <c r="AX5" s="53"/>
      <c r="AY5" s="53"/>
      <c r="BA5" s="71" t="s">
        <v>93</v>
      </c>
      <c r="BB5" s="53"/>
      <c r="BC5" s="53"/>
      <c r="BD5" s="118"/>
      <c r="BE5" s="71" t="s">
        <v>93</v>
      </c>
      <c r="BG5" s="119"/>
      <c r="BI5" s="71" t="s">
        <v>93</v>
      </c>
      <c r="BJ5" s="46"/>
      <c r="BK5" s="117"/>
      <c r="BO5" s="120"/>
      <c r="BS5" s="120"/>
      <c r="BU5" s="121"/>
      <c r="BV5" s="46"/>
      <c r="BW5" s="117"/>
      <c r="BX5" s="162"/>
      <c r="CB5" s="162"/>
      <c r="CC5" s="163"/>
      <c r="CD5" s="164"/>
      <c r="CE5" s="165"/>
      <c r="CG5" s="163"/>
      <c r="CH5" s="164"/>
      <c r="CI5" s="165"/>
    </row>
    <row r="6" spans="1:95" x14ac:dyDescent="0.2">
      <c r="A6" s="46">
        <f t="shared" ref="A6:A23" si="0">A5+1</f>
        <v>35</v>
      </c>
      <c r="B6" s="47">
        <f t="shared" ref="B6:B18" si="1">B5+7</f>
        <v>40417</v>
      </c>
      <c r="C6" s="40" t="s">
        <v>79</v>
      </c>
      <c r="D6" s="47">
        <f t="shared" ref="D6:D18" si="2">D5+7</f>
        <v>40423</v>
      </c>
      <c r="E6" s="53" t="s">
        <v>93</v>
      </c>
      <c r="I6" s="53" t="s">
        <v>93</v>
      </c>
      <c r="J6" s="53"/>
      <c r="K6" s="53"/>
      <c r="M6" s="53" t="s">
        <v>93</v>
      </c>
      <c r="N6" s="53"/>
      <c r="O6" s="53"/>
      <c r="Q6" s="53" t="s">
        <v>93</v>
      </c>
      <c r="R6" s="53"/>
      <c r="S6" s="53"/>
      <c r="U6" s="53" t="s">
        <v>93</v>
      </c>
      <c r="V6" s="53"/>
      <c r="W6" s="53"/>
      <c r="Y6" s="53"/>
      <c r="AC6" s="53" t="s">
        <v>93</v>
      </c>
      <c r="AG6" s="46" t="s">
        <v>93</v>
      </c>
      <c r="AH6" s="46"/>
      <c r="AK6" s="46" t="s">
        <v>93</v>
      </c>
      <c r="AS6" s="46">
        <v>144</v>
      </c>
      <c r="AT6" s="46">
        <v>0</v>
      </c>
      <c r="AU6" s="46">
        <v>5</v>
      </c>
      <c r="AV6" s="117"/>
      <c r="AW6" s="53"/>
      <c r="AX6" s="53"/>
      <c r="AY6" s="53"/>
      <c r="BA6" s="53"/>
      <c r="BB6" s="53"/>
      <c r="BC6" s="53"/>
      <c r="BD6" s="118"/>
      <c r="BG6" s="122"/>
      <c r="BK6" s="120"/>
      <c r="BO6" s="120"/>
      <c r="BS6" s="120"/>
      <c r="BU6" s="121"/>
      <c r="BV6" s="46"/>
      <c r="BW6" s="117"/>
      <c r="BX6" s="162"/>
      <c r="CB6" s="162"/>
      <c r="CC6" s="166"/>
      <c r="CE6" s="120"/>
      <c r="CG6" s="166"/>
      <c r="CI6" s="120"/>
    </row>
    <row r="7" spans="1:95" x14ac:dyDescent="0.2">
      <c r="A7" s="46">
        <f t="shared" si="0"/>
        <v>36</v>
      </c>
      <c r="B7" s="47">
        <f t="shared" si="1"/>
        <v>40424</v>
      </c>
      <c r="C7" s="40" t="s">
        <v>79</v>
      </c>
      <c r="D7" s="47">
        <f t="shared" si="2"/>
        <v>40430</v>
      </c>
      <c r="E7" s="53">
        <v>212</v>
      </c>
      <c r="F7" s="53">
        <v>0</v>
      </c>
      <c r="G7" s="53">
        <v>14</v>
      </c>
      <c r="I7" s="53">
        <v>109</v>
      </c>
      <c r="J7" s="53">
        <v>0</v>
      </c>
      <c r="K7" s="53">
        <v>0</v>
      </c>
      <c r="M7" s="53">
        <v>6</v>
      </c>
      <c r="N7" s="53">
        <v>0</v>
      </c>
      <c r="O7" s="53">
        <v>1</v>
      </c>
      <c r="S7" s="53"/>
      <c r="U7" s="53">
        <v>66</v>
      </c>
      <c r="V7" s="53">
        <v>0</v>
      </c>
      <c r="W7" s="53">
        <v>0</v>
      </c>
      <c r="Y7" s="53">
        <v>106</v>
      </c>
      <c r="Z7" s="53">
        <v>0</v>
      </c>
      <c r="AA7" s="53">
        <v>2</v>
      </c>
      <c r="AC7" s="53">
        <v>119</v>
      </c>
      <c r="AD7" s="53"/>
      <c r="AE7" s="53">
        <v>0</v>
      </c>
      <c r="AG7" s="53">
        <v>162</v>
      </c>
      <c r="AH7" s="46"/>
      <c r="AI7" s="53">
        <v>1</v>
      </c>
      <c r="AK7" s="46">
        <v>63</v>
      </c>
      <c r="AL7" s="53">
        <v>0</v>
      </c>
      <c r="AM7" s="53">
        <v>4</v>
      </c>
      <c r="AN7" s="53"/>
      <c r="AO7" s="71">
        <v>120</v>
      </c>
      <c r="AP7" s="53">
        <v>0</v>
      </c>
      <c r="AQ7" s="53">
        <v>3</v>
      </c>
      <c r="AR7" s="123"/>
      <c r="AS7" s="46">
        <v>259</v>
      </c>
      <c r="AT7" s="46">
        <v>0</v>
      </c>
      <c r="AU7" s="46">
        <v>11</v>
      </c>
      <c r="AV7" s="117"/>
      <c r="AW7" s="53">
        <v>169</v>
      </c>
      <c r="AX7" s="53">
        <v>0</v>
      </c>
      <c r="AY7" s="53">
        <v>2</v>
      </c>
      <c r="BA7" s="53">
        <v>260</v>
      </c>
      <c r="BB7" s="53"/>
      <c r="BC7" s="53">
        <v>0</v>
      </c>
      <c r="BD7" s="118"/>
      <c r="BE7" s="46">
        <v>29</v>
      </c>
      <c r="BF7" s="46">
        <v>0</v>
      </c>
      <c r="BG7" s="122">
        <v>3</v>
      </c>
      <c r="BI7" s="46">
        <v>21</v>
      </c>
      <c r="BJ7" s="46">
        <v>0</v>
      </c>
      <c r="BK7" s="117">
        <v>1</v>
      </c>
      <c r="BM7" s="124">
        <v>201</v>
      </c>
      <c r="BN7" s="125">
        <v>0</v>
      </c>
      <c r="BO7" s="126">
        <v>3</v>
      </c>
      <c r="BQ7" s="124">
        <v>81</v>
      </c>
      <c r="BR7" s="124">
        <v>0</v>
      </c>
      <c r="BS7" s="127">
        <v>0</v>
      </c>
      <c r="BT7" s="124"/>
      <c r="BU7" s="128">
        <v>124</v>
      </c>
      <c r="BV7" s="129">
        <v>0</v>
      </c>
      <c r="BW7" s="130">
        <v>1</v>
      </c>
      <c r="BX7" s="162"/>
      <c r="BY7" s="131">
        <v>509</v>
      </c>
      <c r="BZ7" s="46">
        <v>0</v>
      </c>
      <c r="CA7" s="46">
        <v>5</v>
      </c>
      <c r="CB7" s="162"/>
      <c r="CC7" s="167">
        <v>240</v>
      </c>
      <c r="CD7" s="253">
        <v>0</v>
      </c>
      <c r="CE7" s="169">
        <v>2</v>
      </c>
      <c r="CG7" s="249">
        <v>114</v>
      </c>
      <c r="CH7">
        <v>0</v>
      </c>
      <c r="CI7" s="250">
        <v>0</v>
      </c>
      <c r="CK7" s="131"/>
      <c r="CL7" s="46"/>
      <c r="CM7" s="131"/>
      <c r="CO7" s="131"/>
      <c r="CP7" s="46"/>
      <c r="CQ7" s="131"/>
    </row>
    <row r="8" spans="1:95" x14ac:dyDescent="0.2">
      <c r="A8" s="46">
        <f t="shared" si="0"/>
        <v>37</v>
      </c>
      <c r="B8" s="47">
        <f t="shared" si="1"/>
        <v>40431</v>
      </c>
      <c r="C8" s="40" t="s">
        <v>79</v>
      </c>
      <c r="D8" s="47">
        <f t="shared" si="2"/>
        <v>40437</v>
      </c>
      <c r="E8" s="53">
        <v>870</v>
      </c>
      <c r="F8" s="53">
        <v>0</v>
      </c>
      <c r="G8" s="53">
        <v>19</v>
      </c>
      <c r="I8" s="53">
        <v>572</v>
      </c>
      <c r="J8" s="53">
        <v>0</v>
      </c>
      <c r="K8" s="53">
        <v>2</v>
      </c>
      <c r="M8" s="53">
        <v>193</v>
      </c>
      <c r="N8" s="53">
        <v>0</v>
      </c>
      <c r="O8" s="53">
        <v>2</v>
      </c>
      <c r="Q8" s="53">
        <v>132</v>
      </c>
      <c r="R8" s="53">
        <v>0</v>
      </c>
      <c r="S8" s="53">
        <v>5</v>
      </c>
      <c r="U8" s="53">
        <v>338</v>
      </c>
      <c r="V8" s="53">
        <v>0</v>
      </c>
      <c r="W8" s="53">
        <v>0</v>
      </c>
      <c r="Y8" s="53">
        <v>235</v>
      </c>
      <c r="Z8" s="53">
        <v>0</v>
      </c>
      <c r="AA8" s="53">
        <v>3</v>
      </c>
      <c r="AC8" s="53">
        <v>609</v>
      </c>
      <c r="AD8" s="53"/>
      <c r="AE8" s="53">
        <v>2</v>
      </c>
      <c r="AG8" s="53">
        <v>644</v>
      </c>
      <c r="AH8" s="46"/>
      <c r="AI8" s="53">
        <v>2</v>
      </c>
      <c r="AK8" s="46">
        <v>389</v>
      </c>
      <c r="AL8" s="53">
        <v>0</v>
      </c>
      <c r="AM8" s="53">
        <v>0</v>
      </c>
      <c r="AN8" s="53"/>
      <c r="AO8" s="71">
        <v>494</v>
      </c>
      <c r="AP8" s="53">
        <v>0</v>
      </c>
      <c r="AQ8" s="53">
        <v>6</v>
      </c>
      <c r="AR8" s="123"/>
      <c r="AS8" s="46">
        <v>781</v>
      </c>
      <c r="AT8" s="46">
        <v>0</v>
      </c>
      <c r="AU8" s="46">
        <v>12</v>
      </c>
      <c r="AV8" s="117"/>
      <c r="AW8" s="53">
        <v>415</v>
      </c>
      <c r="AX8" s="53">
        <v>0</v>
      </c>
      <c r="AY8" s="53">
        <v>19</v>
      </c>
      <c r="BA8" s="53">
        <v>721</v>
      </c>
      <c r="BB8" s="53"/>
      <c r="BC8" s="53">
        <v>4</v>
      </c>
      <c r="BD8" s="118"/>
      <c r="BE8" s="46">
        <v>97</v>
      </c>
      <c r="BF8" s="46">
        <v>0</v>
      </c>
      <c r="BG8" s="122">
        <v>4</v>
      </c>
      <c r="BI8" s="46">
        <v>199</v>
      </c>
      <c r="BJ8" s="46">
        <v>0</v>
      </c>
      <c r="BK8" s="117">
        <v>1</v>
      </c>
      <c r="BM8" s="132">
        <v>1089</v>
      </c>
      <c r="BN8" s="125">
        <v>0</v>
      </c>
      <c r="BO8" s="133">
        <v>4</v>
      </c>
      <c r="BQ8" s="132">
        <v>202</v>
      </c>
      <c r="BR8" s="132">
        <v>0</v>
      </c>
      <c r="BS8" s="127">
        <v>1</v>
      </c>
      <c r="BT8" s="124"/>
      <c r="BU8" s="128">
        <v>665</v>
      </c>
      <c r="BV8" s="129">
        <v>0</v>
      </c>
      <c r="BW8" s="130">
        <v>4</v>
      </c>
      <c r="BX8" s="162"/>
      <c r="BY8" s="131">
        <v>1222</v>
      </c>
      <c r="BZ8" s="46">
        <v>0</v>
      </c>
      <c r="CA8" s="46">
        <v>7</v>
      </c>
      <c r="CB8" s="162"/>
      <c r="CC8" s="167">
        <v>818</v>
      </c>
      <c r="CD8" s="253">
        <v>0</v>
      </c>
      <c r="CE8" s="169">
        <v>4</v>
      </c>
      <c r="CG8" s="249">
        <v>484</v>
      </c>
      <c r="CH8">
        <v>0</v>
      </c>
      <c r="CI8" s="251">
        <v>3</v>
      </c>
      <c r="CK8" s="131"/>
      <c r="CL8" s="131"/>
      <c r="CM8" s="131"/>
      <c r="CO8" s="131"/>
      <c r="CP8" s="46"/>
      <c r="CQ8" s="131"/>
    </row>
    <row r="9" spans="1:95" x14ac:dyDescent="0.2">
      <c r="A9" s="46">
        <f t="shared" si="0"/>
        <v>38</v>
      </c>
      <c r="B9" s="47">
        <f t="shared" si="1"/>
        <v>40438</v>
      </c>
      <c r="C9" s="40" t="s">
        <v>79</v>
      </c>
      <c r="D9" s="47">
        <f t="shared" si="2"/>
        <v>40444</v>
      </c>
      <c r="E9" s="53">
        <v>2888</v>
      </c>
      <c r="F9" s="53">
        <v>0</v>
      </c>
      <c r="G9" s="53">
        <v>20</v>
      </c>
      <c r="I9" s="53">
        <v>1798</v>
      </c>
      <c r="J9" s="53">
        <v>0</v>
      </c>
      <c r="K9" s="53">
        <v>5</v>
      </c>
      <c r="M9" s="53">
        <v>591</v>
      </c>
      <c r="N9" s="53">
        <v>0</v>
      </c>
      <c r="O9" s="53">
        <v>4</v>
      </c>
      <c r="Q9" s="53">
        <v>748</v>
      </c>
      <c r="R9" s="53">
        <v>0</v>
      </c>
      <c r="S9" s="53">
        <v>5</v>
      </c>
      <c r="U9" s="53">
        <v>1006</v>
      </c>
      <c r="V9" s="53">
        <v>0</v>
      </c>
      <c r="W9" s="53">
        <v>1</v>
      </c>
      <c r="Y9" s="53">
        <v>953</v>
      </c>
      <c r="Z9" s="53">
        <v>0</v>
      </c>
      <c r="AA9" s="53">
        <v>5</v>
      </c>
      <c r="AC9" s="53">
        <v>1174</v>
      </c>
      <c r="AD9" s="53"/>
      <c r="AE9" s="53">
        <v>3</v>
      </c>
      <c r="AG9" s="53">
        <v>1903</v>
      </c>
      <c r="AH9" s="46"/>
      <c r="AI9" s="53">
        <v>3</v>
      </c>
      <c r="AK9" s="46">
        <v>1441</v>
      </c>
      <c r="AL9" s="53">
        <v>0</v>
      </c>
      <c r="AM9" s="53">
        <v>0</v>
      </c>
      <c r="AN9" s="53"/>
      <c r="AO9" s="71">
        <v>1245</v>
      </c>
      <c r="AP9" s="53">
        <v>0</v>
      </c>
      <c r="AQ9" s="53">
        <v>8</v>
      </c>
      <c r="AR9" s="123"/>
      <c r="AS9" s="46">
        <v>1642</v>
      </c>
      <c r="AT9" s="46">
        <v>1</v>
      </c>
      <c r="AU9" s="46">
        <v>35</v>
      </c>
      <c r="AV9" s="117"/>
      <c r="AW9" s="53">
        <v>1260</v>
      </c>
      <c r="AX9" s="53">
        <v>0</v>
      </c>
      <c r="AY9" s="53">
        <v>43</v>
      </c>
      <c r="BA9" s="53">
        <v>1320</v>
      </c>
      <c r="BB9" s="53"/>
      <c r="BC9" s="53">
        <v>8</v>
      </c>
      <c r="BD9" s="118"/>
      <c r="BE9" s="46">
        <v>358</v>
      </c>
      <c r="BF9" s="46">
        <v>0</v>
      </c>
      <c r="BG9" s="122">
        <v>4</v>
      </c>
      <c r="BI9" s="46">
        <v>725</v>
      </c>
      <c r="BJ9" s="46">
        <v>0</v>
      </c>
      <c r="BK9" s="117">
        <v>2</v>
      </c>
      <c r="BM9" s="132">
        <v>2718</v>
      </c>
      <c r="BN9" s="125">
        <v>0</v>
      </c>
      <c r="BO9" s="133">
        <v>5</v>
      </c>
      <c r="BQ9" s="132">
        <v>621</v>
      </c>
      <c r="BR9" s="132">
        <v>0</v>
      </c>
      <c r="BS9" s="127">
        <v>2</v>
      </c>
      <c r="BT9" s="124"/>
      <c r="BU9" s="128">
        <v>1214</v>
      </c>
      <c r="BV9" s="129">
        <v>0</v>
      </c>
      <c r="BW9" s="130">
        <v>8</v>
      </c>
      <c r="BX9" s="162"/>
      <c r="BY9" s="131">
        <v>2903</v>
      </c>
      <c r="BZ9" s="46">
        <v>0</v>
      </c>
      <c r="CA9" s="46">
        <v>8</v>
      </c>
      <c r="CB9" s="162"/>
      <c r="CC9" s="167">
        <v>1656</v>
      </c>
      <c r="CD9" s="253">
        <v>0</v>
      </c>
      <c r="CE9" s="169">
        <v>8</v>
      </c>
      <c r="CG9" s="249">
        <v>869</v>
      </c>
      <c r="CH9">
        <v>0</v>
      </c>
      <c r="CI9" s="251">
        <v>4</v>
      </c>
      <c r="CK9" s="131"/>
      <c r="CL9" s="46"/>
      <c r="CM9" s="131"/>
      <c r="CO9" s="131"/>
      <c r="CP9" s="46"/>
      <c r="CQ9" s="131"/>
    </row>
    <row r="10" spans="1:95" x14ac:dyDescent="0.2">
      <c r="A10" s="46">
        <f t="shared" si="0"/>
        <v>39</v>
      </c>
      <c r="B10" s="47">
        <f t="shared" si="1"/>
        <v>40445</v>
      </c>
      <c r="C10" s="40" t="s">
        <v>79</v>
      </c>
      <c r="D10" s="47">
        <f t="shared" si="2"/>
        <v>40451</v>
      </c>
      <c r="E10" s="53">
        <v>4535</v>
      </c>
      <c r="F10" s="53">
        <v>0</v>
      </c>
      <c r="G10" s="53">
        <v>20</v>
      </c>
      <c r="I10" s="53">
        <v>5334</v>
      </c>
      <c r="J10" s="53">
        <v>0</v>
      </c>
      <c r="K10" s="53">
        <v>7</v>
      </c>
      <c r="M10" s="53">
        <v>1452</v>
      </c>
      <c r="N10" s="53">
        <v>2</v>
      </c>
      <c r="O10" s="53">
        <v>4</v>
      </c>
      <c r="Q10" s="53">
        <v>2635</v>
      </c>
      <c r="R10" s="53">
        <v>0</v>
      </c>
      <c r="S10" s="53">
        <v>9</v>
      </c>
      <c r="U10" s="53">
        <v>2495</v>
      </c>
      <c r="V10" s="53">
        <v>0</v>
      </c>
      <c r="W10" s="53">
        <v>4</v>
      </c>
      <c r="Y10" s="53">
        <v>1963</v>
      </c>
      <c r="Z10" s="53">
        <v>0</v>
      </c>
      <c r="AA10" s="53">
        <v>6</v>
      </c>
      <c r="AC10" s="53">
        <v>2029</v>
      </c>
      <c r="AD10" s="53"/>
      <c r="AE10" s="53">
        <v>4</v>
      </c>
      <c r="AG10" s="53">
        <v>4083</v>
      </c>
      <c r="AH10" s="46"/>
      <c r="AI10" s="53">
        <v>7</v>
      </c>
      <c r="AK10" s="46">
        <v>4006</v>
      </c>
      <c r="AL10" s="53">
        <v>0</v>
      </c>
      <c r="AM10" s="53">
        <v>9</v>
      </c>
      <c r="AN10" s="53"/>
      <c r="AO10" s="71">
        <v>2243</v>
      </c>
      <c r="AP10" s="53">
        <v>0</v>
      </c>
      <c r="AQ10" s="53">
        <v>13</v>
      </c>
      <c r="AR10" s="123"/>
      <c r="AS10" s="46">
        <v>3295</v>
      </c>
      <c r="AT10" s="46">
        <v>5</v>
      </c>
      <c r="AU10" s="46">
        <v>100</v>
      </c>
      <c r="AV10" s="117"/>
      <c r="AW10" s="53">
        <v>1687</v>
      </c>
      <c r="AX10" s="53">
        <v>1</v>
      </c>
      <c r="AY10" s="53">
        <v>58</v>
      </c>
      <c r="BA10" s="53">
        <v>1747</v>
      </c>
      <c r="BB10" s="53"/>
      <c r="BC10" s="53">
        <v>11</v>
      </c>
      <c r="BD10" s="118"/>
      <c r="BE10" s="46">
        <v>891</v>
      </c>
      <c r="BF10" s="46">
        <v>0</v>
      </c>
      <c r="BG10" s="122">
        <v>4</v>
      </c>
      <c r="BI10" s="46">
        <v>1542</v>
      </c>
      <c r="BJ10" s="46">
        <v>0</v>
      </c>
      <c r="BK10" s="117">
        <v>3</v>
      </c>
      <c r="BM10" s="132">
        <v>3625</v>
      </c>
      <c r="BN10" s="125">
        <v>0</v>
      </c>
      <c r="BO10" s="133">
        <v>5</v>
      </c>
      <c r="BQ10" s="132">
        <v>950</v>
      </c>
      <c r="BR10" s="132">
        <v>0</v>
      </c>
      <c r="BS10" s="127">
        <v>3</v>
      </c>
      <c r="BT10" s="124"/>
      <c r="BU10" s="128">
        <v>1654</v>
      </c>
      <c r="BV10" s="129">
        <v>0</v>
      </c>
      <c r="BW10" s="130">
        <v>10</v>
      </c>
      <c r="BX10" s="162"/>
      <c r="BY10" s="131">
        <v>3691</v>
      </c>
      <c r="BZ10" s="46">
        <v>0</v>
      </c>
      <c r="CA10" s="46">
        <v>22</v>
      </c>
      <c r="CB10" s="162"/>
      <c r="CC10" s="167">
        <v>2449</v>
      </c>
      <c r="CD10" s="253">
        <v>0</v>
      </c>
      <c r="CE10" s="169">
        <v>14</v>
      </c>
      <c r="CG10" s="249">
        <v>1335</v>
      </c>
      <c r="CH10">
        <v>0</v>
      </c>
      <c r="CI10" s="251">
        <v>6</v>
      </c>
      <c r="CK10" s="131"/>
      <c r="CL10" s="46"/>
      <c r="CM10" s="131"/>
      <c r="CO10" s="131"/>
      <c r="CP10" s="46"/>
      <c r="CQ10" s="131"/>
    </row>
    <row r="11" spans="1:95" ht="15" thickBot="1" x14ac:dyDescent="0.25">
      <c r="A11" s="46">
        <f t="shared" si="0"/>
        <v>40</v>
      </c>
      <c r="B11" s="47">
        <f t="shared" si="1"/>
        <v>40452</v>
      </c>
      <c r="C11" s="40" t="s">
        <v>79</v>
      </c>
      <c r="D11" s="47">
        <f t="shared" si="2"/>
        <v>40458</v>
      </c>
      <c r="E11" s="53">
        <v>6017</v>
      </c>
      <c r="F11" s="53">
        <v>11</v>
      </c>
      <c r="G11" s="53">
        <v>27</v>
      </c>
      <c r="I11" s="53">
        <v>6584</v>
      </c>
      <c r="J11" s="53">
        <v>8</v>
      </c>
      <c r="K11" s="53">
        <v>13</v>
      </c>
      <c r="M11" s="53">
        <v>2661</v>
      </c>
      <c r="N11" s="53">
        <v>8</v>
      </c>
      <c r="O11" s="53">
        <v>8</v>
      </c>
      <c r="Q11" s="53">
        <v>5499</v>
      </c>
      <c r="R11" s="53">
        <v>0</v>
      </c>
      <c r="S11" s="53">
        <v>16</v>
      </c>
      <c r="U11" s="53">
        <v>3659</v>
      </c>
      <c r="V11" s="53">
        <v>5</v>
      </c>
      <c r="W11" s="53">
        <v>12</v>
      </c>
      <c r="Y11" s="53">
        <v>2836</v>
      </c>
      <c r="Z11" s="53">
        <v>1</v>
      </c>
      <c r="AA11" s="53">
        <v>7</v>
      </c>
      <c r="AC11" s="53">
        <v>2702</v>
      </c>
      <c r="AD11" s="53">
        <v>6</v>
      </c>
      <c r="AE11" s="53">
        <v>6</v>
      </c>
      <c r="AG11" s="53">
        <v>5777</v>
      </c>
      <c r="AH11" s="46">
        <v>1</v>
      </c>
      <c r="AI11" s="53">
        <v>20</v>
      </c>
      <c r="AK11" s="46">
        <v>5733</v>
      </c>
      <c r="AL11" s="53">
        <v>3</v>
      </c>
      <c r="AM11" s="53">
        <v>15</v>
      </c>
      <c r="AN11" s="53"/>
      <c r="AO11" s="71">
        <v>2519</v>
      </c>
      <c r="AP11" s="53">
        <v>4</v>
      </c>
      <c r="AQ11" s="53">
        <v>15</v>
      </c>
      <c r="AR11" s="123"/>
      <c r="AS11" s="39" t="s">
        <v>94</v>
      </c>
      <c r="AT11" s="46">
        <v>19</v>
      </c>
      <c r="AU11" s="46">
        <v>118</v>
      </c>
      <c r="AV11" s="117"/>
      <c r="AW11" s="71">
        <v>1881</v>
      </c>
      <c r="AX11" s="53">
        <v>11</v>
      </c>
      <c r="AY11" s="53">
        <v>65</v>
      </c>
      <c r="BA11" s="71">
        <v>2107</v>
      </c>
      <c r="BB11" s="53"/>
      <c r="BC11" s="53">
        <v>14</v>
      </c>
      <c r="BD11" s="118"/>
      <c r="BE11" s="36" t="s">
        <v>95</v>
      </c>
      <c r="BF11" s="46">
        <v>0</v>
      </c>
      <c r="BG11" s="134">
        <v>4</v>
      </c>
      <c r="BI11" s="36" t="s">
        <v>96</v>
      </c>
      <c r="BJ11" s="46">
        <v>0</v>
      </c>
      <c r="BK11" s="117">
        <v>7</v>
      </c>
      <c r="BM11" s="132">
        <v>4160</v>
      </c>
      <c r="BN11" s="125">
        <v>0</v>
      </c>
      <c r="BO11" s="133">
        <v>5</v>
      </c>
      <c r="BQ11" s="132">
        <v>1160</v>
      </c>
      <c r="BR11" s="132">
        <v>0</v>
      </c>
      <c r="BS11" s="127">
        <v>3</v>
      </c>
      <c r="BT11" s="124"/>
      <c r="BU11" s="135" t="s">
        <v>97</v>
      </c>
      <c r="BV11" s="129">
        <v>0</v>
      </c>
      <c r="BW11" s="130">
        <v>13</v>
      </c>
      <c r="BX11" s="162"/>
      <c r="BY11" s="246" t="s">
        <v>172</v>
      </c>
      <c r="BZ11" s="46">
        <v>1</v>
      </c>
      <c r="CA11" s="46">
        <v>25</v>
      </c>
      <c r="CB11" s="162"/>
      <c r="CC11" s="167">
        <v>2896</v>
      </c>
      <c r="CD11" s="131">
        <v>2</v>
      </c>
      <c r="CE11" s="169">
        <v>18</v>
      </c>
      <c r="CG11" s="249">
        <v>1511</v>
      </c>
      <c r="CH11">
        <v>0</v>
      </c>
      <c r="CI11" s="251">
        <v>13</v>
      </c>
      <c r="CK11" s="131"/>
      <c r="CL11" s="46"/>
      <c r="CM11" s="131"/>
      <c r="CO11" s="131"/>
      <c r="CP11" s="46"/>
      <c r="CQ11" s="131"/>
    </row>
    <row r="12" spans="1:95" ht="14.25" customHeight="1" x14ac:dyDescent="0.2">
      <c r="A12" s="46">
        <f t="shared" si="0"/>
        <v>41</v>
      </c>
      <c r="B12" s="47">
        <f t="shared" si="1"/>
        <v>40459</v>
      </c>
      <c r="C12" s="40" t="s">
        <v>79</v>
      </c>
      <c r="D12" s="47">
        <f t="shared" si="2"/>
        <v>40465</v>
      </c>
      <c r="E12" s="52">
        <v>6550</v>
      </c>
      <c r="F12" s="53">
        <v>51</v>
      </c>
      <c r="G12" s="53">
        <v>29</v>
      </c>
      <c r="I12" s="52">
        <v>6990</v>
      </c>
      <c r="J12" s="53">
        <v>22</v>
      </c>
      <c r="K12" s="53">
        <v>14</v>
      </c>
      <c r="M12" s="52">
        <v>3818</v>
      </c>
      <c r="N12" s="53">
        <v>100</v>
      </c>
      <c r="O12" s="53">
        <v>33</v>
      </c>
      <c r="Q12" s="52">
        <v>6034</v>
      </c>
      <c r="R12" s="53">
        <v>2</v>
      </c>
      <c r="S12" s="53">
        <v>71</v>
      </c>
      <c r="U12" s="52">
        <v>3766</v>
      </c>
      <c r="V12" s="53">
        <v>10</v>
      </c>
      <c r="W12" s="53">
        <v>21</v>
      </c>
      <c r="Y12" s="52">
        <v>3069</v>
      </c>
      <c r="Z12" s="53">
        <v>1</v>
      </c>
      <c r="AA12" s="53">
        <v>7</v>
      </c>
      <c r="AC12" s="51">
        <v>2859</v>
      </c>
      <c r="AD12" s="53">
        <v>58</v>
      </c>
      <c r="AE12" s="53">
        <v>9</v>
      </c>
      <c r="AG12" s="51">
        <v>6581</v>
      </c>
      <c r="AH12" s="46">
        <v>10</v>
      </c>
      <c r="AI12" s="53">
        <v>30</v>
      </c>
      <c r="AK12" s="39" t="s">
        <v>98</v>
      </c>
      <c r="AL12" s="53">
        <v>24</v>
      </c>
      <c r="AM12" s="53">
        <v>19</v>
      </c>
      <c r="AN12" s="53"/>
      <c r="AO12" s="51" t="s">
        <v>99</v>
      </c>
      <c r="AP12" s="71">
        <v>6</v>
      </c>
      <c r="AQ12" s="71">
        <v>31</v>
      </c>
      <c r="AR12" s="123"/>
      <c r="AS12" s="46">
        <v>330</v>
      </c>
      <c r="AT12" s="46">
        <v>19</v>
      </c>
      <c r="AU12" s="46">
        <v>121</v>
      </c>
      <c r="AV12" s="117"/>
      <c r="AW12" s="51" t="s">
        <v>100</v>
      </c>
      <c r="AX12" s="53"/>
      <c r="AY12" s="53"/>
      <c r="BA12" s="51" t="s">
        <v>101</v>
      </c>
      <c r="BB12" s="53"/>
      <c r="BC12" s="53"/>
      <c r="BD12" s="118"/>
      <c r="BE12" s="279" t="s">
        <v>102</v>
      </c>
      <c r="BF12" s="280"/>
      <c r="BG12" s="281"/>
      <c r="BH12" s="137"/>
      <c r="BI12" s="284" t="s">
        <v>102</v>
      </c>
      <c r="BJ12" s="280"/>
      <c r="BK12" s="285"/>
      <c r="BM12" s="138" t="s">
        <v>103</v>
      </c>
      <c r="BN12" s="125">
        <v>0</v>
      </c>
      <c r="BO12" s="139">
        <v>7</v>
      </c>
      <c r="BQ12" s="140" t="s">
        <v>104</v>
      </c>
      <c r="BR12" s="132">
        <v>0</v>
      </c>
      <c r="BS12" s="127">
        <v>3</v>
      </c>
      <c r="BU12" s="178"/>
      <c r="BV12" s="179"/>
      <c r="BW12" s="180"/>
      <c r="BX12" s="162"/>
      <c r="BY12" s="181"/>
      <c r="BZ12" s="181"/>
      <c r="CA12" s="181"/>
      <c r="CB12" s="162"/>
      <c r="CC12" s="167">
        <v>3610</v>
      </c>
      <c r="CD12" s="131">
        <v>34</v>
      </c>
      <c r="CE12" s="169">
        <v>33</v>
      </c>
      <c r="CG12" s="252" t="s">
        <v>176</v>
      </c>
      <c r="CH12">
        <v>0</v>
      </c>
      <c r="CI12" s="251">
        <v>19</v>
      </c>
      <c r="CK12" s="131"/>
      <c r="CL12" s="46"/>
      <c r="CM12" s="131"/>
      <c r="CO12" s="131"/>
      <c r="CP12" s="46"/>
      <c r="CQ12" s="131"/>
    </row>
    <row r="13" spans="1:95" ht="13.5" customHeight="1" thickBot="1" x14ac:dyDescent="0.25">
      <c r="A13" s="46">
        <f t="shared" si="0"/>
        <v>42</v>
      </c>
      <c r="B13" s="47">
        <f t="shared" si="1"/>
        <v>40466</v>
      </c>
      <c r="C13" s="40" t="s">
        <v>79</v>
      </c>
      <c r="D13" s="47">
        <f t="shared" si="2"/>
        <v>40472</v>
      </c>
      <c r="E13" s="53" t="s">
        <v>105</v>
      </c>
      <c r="F13" s="75" t="s">
        <v>106</v>
      </c>
      <c r="G13" s="75" t="s">
        <v>106</v>
      </c>
      <c r="I13" s="53" t="s">
        <v>105</v>
      </c>
      <c r="J13" s="75" t="s">
        <v>106</v>
      </c>
      <c r="K13" s="75" t="s">
        <v>106</v>
      </c>
      <c r="M13" s="53" t="s">
        <v>105</v>
      </c>
      <c r="N13" s="75" t="s">
        <v>106</v>
      </c>
      <c r="O13" s="75" t="s">
        <v>106</v>
      </c>
      <c r="Q13" s="53" t="s">
        <v>105</v>
      </c>
      <c r="R13" s="75" t="s">
        <v>106</v>
      </c>
      <c r="S13" s="75" t="s">
        <v>106</v>
      </c>
      <c r="U13" s="53" t="s">
        <v>105</v>
      </c>
      <c r="V13" s="75" t="s">
        <v>106</v>
      </c>
      <c r="W13" s="75" t="s">
        <v>106</v>
      </c>
      <c r="Y13" s="53" t="s">
        <v>105</v>
      </c>
      <c r="Z13" s="75" t="s">
        <v>106</v>
      </c>
      <c r="AA13" s="75" t="s">
        <v>106</v>
      </c>
      <c r="AC13" s="53" t="s">
        <v>105</v>
      </c>
      <c r="AD13" s="75" t="s">
        <v>106</v>
      </c>
      <c r="AE13" s="75" t="s">
        <v>106</v>
      </c>
      <c r="AG13" s="46" t="s">
        <v>105</v>
      </c>
      <c r="AH13" s="48" t="s">
        <v>106</v>
      </c>
      <c r="AI13" s="75" t="s">
        <v>106</v>
      </c>
      <c r="AK13" s="40" t="s">
        <v>105</v>
      </c>
      <c r="AL13" s="141" t="s">
        <v>106</v>
      </c>
      <c r="AM13" s="141" t="s">
        <v>106</v>
      </c>
      <c r="AN13" s="53"/>
      <c r="AO13" s="71" t="s">
        <v>107</v>
      </c>
      <c r="AP13" s="141" t="s">
        <v>106</v>
      </c>
      <c r="AQ13" s="141" t="s">
        <v>106</v>
      </c>
      <c r="AR13" s="71"/>
      <c r="AS13" s="40">
        <v>399</v>
      </c>
      <c r="AT13" s="46">
        <v>56</v>
      </c>
      <c r="AU13" s="46">
        <v>128</v>
      </c>
      <c r="AV13" s="117"/>
      <c r="AW13" s="71" t="s">
        <v>107</v>
      </c>
      <c r="AX13" s="53"/>
      <c r="AY13" s="53"/>
      <c r="BA13" s="71" t="s">
        <v>105</v>
      </c>
      <c r="BB13" s="53"/>
      <c r="BC13" s="53"/>
      <c r="BD13" s="118"/>
      <c r="BE13" s="282"/>
      <c r="BF13" s="282"/>
      <c r="BG13" s="283"/>
      <c r="BH13" s="137"/>
      <c r="BI13" s="286"/>
      <c r="BJ13" s="282"/>
      <c r="BK13" s="287"/>
      <c r="BM13" s="288" t="s">
        <v>108</v>
      </c>
      <c r="BN13" s="289"/>
      <c r="BO13" s="290"/>
      <c r="BQ13" s="288" t="s">
        <v>108</v>
      </c>
      <c r="BR13" s="289"/>
      <c r="BS13" s="290"/>
      <c r="BU13" s="291" t="s">
        <v>108</v>
      </c>
      <c r="BV13" s="292"/>
      <c r="BW13" s="293"/>
      <c r="BX13" s="162"/>
      <c r="BY13" s="297" t="s">
        <v>108</v>
      </c>
      <c r="BZ13" s="297"/>
      <c r="CA13" s="297"/>
      <c r="CB13" s="162"/>
      <c r="CC13" s="178">
        <v>3626</v>
      </c>
      <c r="CD13" s="277" t="s">
        <v>108</v>
      </c>
      <c r="CE13" s="278"/>
      <c r="CG13" s="297" t="s">
        <v>108</v>
      </c>
      <c r="CH13" s="297"/>
      <c r="CI13" s="297"/>
      <c r="CK13" s="274"/>
      <c r="CL13" s="274"/>
      <c r="CM13" s="274"/>
      <c r="CO13" s="274"/>
      <c r="CP13" s="274"/>
      <c r="CQ13" s="274"/>
    </row>
    <row r="14" spans="1:95" x14ac:dyDescent="0.2">
      <c r="A14" s="46">
        <f t="shared" si="0"/>
        <v>43</v>
      </c>
      <c r="B14" s="47">
        <f t="shared" si="1"/>
        <v>40473</v>
      </c>
      <c r="C14" s="40" t="s">
        <v>79</v>
      </c>
      <c r="D14" s="47">
        <f t="shared" si="2"/>
        <v>40479</v>
      </c>
      <c r="E14" s="53">
        <v>1807</v>
      </c>
      <c r="F14" s="53">
        <v>998</v>
      </c>
      <c r="G14" s="53">
        <v>145</v>
      </c>
      <c r="I14" s="53">
        <v>1060</v>
      </c>
      <c r="J14" s="53">
        <v>967</v>
      </c>
      <c r="K14" s="53">
        <v>31</v>
      </c>
      <c r="M14" s="53">
        <v>392</v>
      </c>
      <c r="N14" s="53">
        <v>423</v>
      </c>
      <c r="O14" s="53">
        <v>45</v>
      </c>
      <c r="Q14" s="53">
        <v>120</v>
      </c>
      <c r="R14" s="53">
        <v>34</v>
      </c>
      <c r="S14" s="53">
        <v>111</v>
      </c>
      <c r="U14" s="53">
        <v>334</v>
      </c>
      <c r="V14" s="53">
        <v>404</v>
      </c>
      <c r="W14" s="53">
        <v>26</v>
      </c>
      <c r="Y14" s="53">
        <v>329</v>
      </c>
      <c r="Z14" s="53">
        <v>535</v>
      </c>
      <c r="AA14" s="53">
        <v>40</v>
      </c>
      <c r="AC14" s="53">
        <v>549</v>
      </c>
      <c r="AD14" s="53">
        <v>987</v>
      </c>
      <c r="AE14" s="53">
        <v>31</v>
      </c>
      <c r="AG14" s="53">
        <v>1086</v>
      </c>
      <c r="AH14" s="53">
        <v>399</v>
      </c>
      <c r="AI14" s="53">
        <v>277</v>
      </c>
      <c r="AK14" s="71">
        <v>1460</v>
      </c>
      <c r="AL14" s="53">
        <v>592</v>
      </c>
      <c r="AM14" s="53">
        <v>165</v>
      </c>
      <c r="AN14" s="53"/>
      <c r="AO14" s="71">
        <v>482</v>
      </c>
      <c r="AP14" s="53">
        <v>33</v>
      </c>
      <c r="AQ14" s="53">
        <v>37</v>
      </c>
      <c r="AS14" s="53">
        <v>790</v>
      </c>
      <c r="AT14" s="46">
        <v>302</v>
      </c>
      <c r="AU14" s="46">
        <v>128</v>
      </c>
      <c r="AV14" s="117"/>
      <c r="AW14" s="53">
        <v>354</v>
      </c>
      <c r="AX14" s="53">
        <v>367</v>
      </c>
      <c r="AY14" s="53">
        <v>109</v>
      </c>
      <c r="BA14" s="53">
        <v>327</v>
      </c>
      <c r="BB14" s="53">
        <v>12</v>
      </c>
      <c r="BC14" s="53">
        <v>113</v>
      </c>
      <c r="BD14" s="118"/>
      <c r="BE14" s="46">
        <v>281</v>
      </c>
      <c r="BF14" s="46">
        <v>40</v>
      </c>
      <c r="BG14" s="142">
        <v>19</v>
      </c>
      <c r="BI14" s="46">
        <v>260</v>
      </c>
      <c r="BJ14" s="46">
        <v>27</v>
      </c>
      <c r="BK14" s="117">
        <v>29</v>
      </c>
      <c r="BM14" s="132">
        <v>88</v>
      </c>
      <c r="BN14" s="125">
        <v>0</v>
      </c>
      <c r="BO14" s="133">
        <v>7</v>
      </c>
      <c r="BQ14" s="132">
        <v>97</v>
      </c>
      <c r="BR14" s="132">
        <v>506</v>
      </c>
      <c r="BS14" s="127">
        <v>6</v>
      </c>
      <c r="BT14" s="124"/>
      <c r="BU14" s="128">
        <v>456</v>
      </c>
      <c r="BV14" s="143">
        <v>24</v>
      </c>
      <c r="BW14" s="130">
        <v>105</v>
      </c>
      <c r="BX14" s="162"/>
      <c r="BY14" s="131">
        <v>831</v>
      </c>
      <c r="BZ14" s="131">
        <v>41</v>
      </c>
      <c r="CA14" s="131">
        <v>36</v>
      </c>
      <c r="CB14" s="162"/>
      <c r="CC14" s="167">
        <v>4292</v>
      </c>
      <c r="CD14" s="131">
        <v>87</v>
      </c>
      <c r="CE14" s="169">
        <v>51</v>
      </c>
      <c r="CG14" s="167">
        <v>193</v>
      </c>
      <c r="CH14" s="131">
        <v>2</v>
      </c>
      <c r="CI14" s="169">
        <v>33</v>
      </c>
      <c r="CK14" s="131"/>
      <c r="CL14" s="131"/>
      <c r="CM14" s="131"/>
      <c r="CO14" s="131"/>
      <c r="CP14" s="131"/>
      <c r="CQ14" s="131"/>
    </row>
    <row r="15" spans="1:95" x14ac:dyDescent="0.2">
      <c r="A15" s="46">
        <f t="shared" si="0"/>
        <v>44</v>
      </c>
      <c r="B15" s="47">
        <f t="shared" si="1"/>
        <v>40480</v>
      </c>
      <c r="C15" s="40" t="s">
        <v>79</v>
      </c>
      <c r="D15" s="47">
        <f t="shared" si="2"/>
        <v>40486</v>
      </c>
      <c r="E15" s="53">
        <v>4355</v>
      </c>
      <c r="F15" s="53">
        <v>2225</v>
      </c>
      <c r="G15" s="53">
        <v>186</v>
      </c>
      <c r="I15" s="53">
        <v>4449</v>
      </c>
      <c r="J15" s="53">
        <v>1666</v>
      </c>
      <c r="K15" s="53">
        <v>53</v>
      </c>
      <c r="M15" s="53">
        <v>1887</v>
      </c>
      <c r="N15" s="53">
        <v>1139</v>
      </c>
      <c r="O15" s="53">
        <v>63</v>
      </c>
      <c r="Q15" s="53">
        <v>605</v>
      </c>
      <c r="R15" s="53">
        <v>252</v>
      </c>
      <c r="S15" s="53">
        <v>254</v>
      </c>
      <c r="U15" s="53">
        <v>1045</v>
      </c>
      <c r="V15" s="53">
        <v>611</v>
      </c>
      <c r="W15" s="53">
        <v>40</v>
      </c>
      <c r="Y15" s="53">
        <v>1036</v>
      </c>
      <c r="Z15" s="53">
        <v>1143</v>
      </c>
      <c r="AA15" s="53">
        <v>69</v>
      </c>
      <c r="AC15" s="53">
        <v>1916</v>
      </c>
      <c r="AD15" s="53">
        <v>1732</v>
      </c>
      <c r="AE15" s="53">
        <v>74</v>
      </c>
      <c r="AG15" s="53">
        <v>4147</v>
      </c>
      <c r="AH15" s="53">
        <v>1127</v>
      </c>
      <c r="AI15" s="53">
        <v>335</v>
      </c>
      <c r="AK15" s="71">
        <v>7146</v>
      </c>
      <c r="AL15" s="53">
        <v>918</v>
      </c>
      <c r="AM15" s="53">
        <v>243</v>
      </c>
      <c r="AN15" s="53"/>
      <c r="AO15" s="53">
        <v>1116</v>
      </c>
      <c r="AP15" s="53">
        <v>412</v>
      </c>
      <c r="AQ15" s="53">
        <v>46</v>
      </c>
      <c r="AS15" s="53">
        <v>2033</v>
      </c>
      <c r="AT15" s="46">
        <v>312</v>
      </c>
      <c r="AU15" s="46">
        <v>182</v>
      </c>
      <c r="AV15" s="117"/>
      <c r="AW15" s="53">
        <v>1271</v>
      </c>
      <c r="AX15" s="53">
        <v>553</v>
      </c>
      <c r="AY15" s="53">
        <v>183</v>
      </c>
      <c r="BA15" s="53">
        <v>610</v>
      </c>
      <c r="BB15" s="53">
        <v>23</v>
      </c>
      <c r="BC15" s="53">
        <v>240</v>
      </c>
      <c r="BD15" s="118"/>
      <c r="BE15" s="144">
        <v>1303</v>
      </c>
      <c r="BF15" s="46">
        <v>74</v>
      </c>
      <c r="BG15" s="122">
        <v>50</v>
      </c>
      <c r="BI15" s="145">
        <v>1047</v>
      </c>
      <c r="BJ15" s="46">
        <v>61</v>
      </c>
      <c r="BK15" s="117">
        <v>37</v>
      </c>
      <c r="BM15" s="132">
        <v>274</v>
      </c>
      <c r="BN15" s="125">
        <v>0</v>
      </c>
      <c r="BO15" s="133">
        <v>8</v>
      </c>
      <c r="BQ15" s="132">
        <v>877</v>
      </c>
      <c r="BR15" s="132">
        <v>577</v>
      </c>
      <c r="BS15" s="127">
        <v>7</v>
      </c>
      <c r="BT15" s="124"/>
      <c r="BU15" s="128">
        <v>1821</v>
      </c>
      <c r="BV15" s="143">
        <v>111</v>
      </c>
      <c r="BW15" s="130">
        <v>212</v>
      </c>
      <c r="BX15" s="162"/>
      <c r="BY15" s="131">
        <v>2047</v>
      </c>
      <c r="BZ15" s="131">
        <v>114</v>
      </c>
      <c r="CA15" s="131">
        <v>38</v>
      </c>
      <c r="CB15" s="162"/>
      <c r="CC15" s="167">
        <v>6175</v>
      </c>
      <c r="CD15" s="131">
        <v>130</v>
      </c>
      <c r="CE15" s="169">
        <v>55</v>
      </c>
      <c r="CG15" s="167">
        <v>690</v>
      </c>
      <c r="CH15" s="131">
        <v>158</v>
      </c>
      <c r="CI15" s="169">
        <v>67</v>
      </c>
      <c r="CK15" s="131"/>
      <c r="CL15" s="131"/>
      <c r="CM15" s="131"/>
      <c r="CO15" s="131"/>
      <c r="CP15" s="131"/>
      <c r="CQ15" s="131"/>
    </row>
    <row r="16" spans="1:95" x14ac:dyDescent="0.2">
      <c r="A16" s="46">
        <f t="shared" si="0"/>
        <v>45</v>
      </c>
      <c r="B16" s="47">
        <f t="shared" si="1"/>
        <v>40487</v>
      </c>
      <c r="C16" s="40" t="s">
        <v>79</v>
      </c>
      <c r="D16" s="47">
        <f t="shared" si="2"/>
        <v>40493</v>
      </c>
      <c r="E16" s="53">
        <v>9033</v>
      </c>
      <c r="F16" s="53">
        <v>4245</v>
      </c>
      <c r="G16" s="53">
        <v>261</v>
      </c>
      <c r="I16" s="53">
        <v>9142</v>
      </c>
      <c r="J16" s="53">
        <v>4959</v>
      </c>
      <c r="K16" s="53">
        <v>200</v>
      </c>
      <c r="M16" s="53">
        <v>4987</v>
      </c>
      <c r="N16" s="53">
        <v>2437</v>
      </c>
      <c r="O16" s="53">
        <v>172</v>
      </c>
      <c r="Q16" s="53">
        <v>1922</v>
      </c>
      <c r="R16" s="53">
        <v>397</v>
      </c>
      <c r="S16" s="53">
        <v>304</v>
      </c>
      <c r="U16" s="53">
        <v>2789</v>
      </c>
      <c r="V16" s="53">
        <v>959</v>
      </c>
      <c r="W16" s="53">
        <v>110</v>
      </c>
      <c r="Y16" s="53">
        <v>3189</v>
      </c>
      <c r="Z16" s="53">
        <v>1586</v>
      </c>
      <c r="AA16" s="53">
        <v>107</v>
      </c>
      <c r="AC16" s="53">
        <v>3470</v>
      </c>
      <c r="AD16" s="53">
        <v>2144</v>
      </c>
      <c r="AE16" s="53">
        <v>114</v>
      </c>
      <c r="AG16" s="53">
        <v>9510</v>
      </c>
      <c r="AH16" s="53">
        <v>1812</v>
      </c>
      <c r="AI16" s="53">
        <v>363</v>
      </c>
      <c r="AK16" s="71">
        <v>11639</v>
      </c>
      <c r="AL16" s="53">
        <v>2739</v>
      </c>
      <c r="AM16" s="53">
        <v>465</v>
      </c>
      <c r="AN16" s="53"/>
      <c r="AO16" s="53">
        <v>2025</v>
      </c>
      <c r="AP16" s="53">
        <v>1166</v>
      </c>
      <c r="AQ16" s="53">
        <v>53</v>
      </c>
      <c r="AS16" s="53">
        <v>3169</v>
      </c>
      <c r="AT16" s="46">
        <v>636</v>
      </c>
      <c r="AU16" s="46">
        <v>196</v>
      </c>
      <c r="AV16" s="117"/>
      <c r="AW16" s="53">
        <v>1624</v>
      </c>
      <c r="AX16" s="53">
        <v>857</v>
      </c>
      <c r="AY16" s="53">
        <v>223</v>
      </c>
      <c r="BA16" s="53">
        <v>906</v>
      </c>
      <c r="BB16" s="53">
        <v>39</v>
      </c>
      <c r="BC16" s="53">
        <v>299</v>
      </c>
      <c r="BD16" s="118"/>
      <c r="BE16" s="144">
        <v>2388</v>
      </c>
      <c r="BF16" s="46">
        <v>97</v>
      </c>
      <c r="BG16" s="122">
        <v>69</v>
      </c>
      <c r="BI16" s="145">
        <v>2658</v>
      </c>
      <c r="BJ16" s="46">
        <v>134</v>
      </c>
      <c r="BK16" s="117">
        <v>46</v>
      </c>
      <c r="BM16" s="132">
        <v>340</v>
      </c>
      <c r="BN16" s="129">
        <v>16</v>
      </c>
      <c r="BO16" s="133">
        <v>8</v>
      </c>
      <c r="BQ16" s="132">
        <v>2861</v>
      </c>
      <c r="BR16" s="132">
        <v>604</v>
      </c>
      <c r="BS16" s="127">
        <v>11</v>
      </c>
      <c r="BT16" s="124"/>
      <c r="BU16" s="128">
        <v>2841</v>
      </c>
      <c r="BV16" s="143">
        <v>235</v>
      </c>
      <c r="BW16" s="130">
        <v>252</v>
      </c>
      <c r="BX16" s="162"/>
      <c r="BY16" s="131">
        <v>3547</v>
      </c>
      <c r="BZ16" s="131">
        <v>358</v>
      </c>
      <c r="CA16" s="131">
        <v>45</v>
      </c>
      <c r="CB16" s="162"/>
      <c r="CC16" s="167">
        <v>8771</v>
      </c>
      <c r="CD16" s="131">
        <v>440</v>
      </c>
      <c r="CE16" s="169">
        <v>68</v>
      </c>
      <c r="CG16" s="167">
        <v>1286</v>
      </c>
      <c r="CH16" s="131">
        <v>220</v>
      </c>
      <c r="CI16" s="169">
        <v>85</v>
      </c>
      <c r="CK16" s="131"/>
      <c r="CL16" s="131"/>
      <c r="CM16" s="131"/>
      <c r="CO16" s="131"/>
      <c r="CP16" s="131"/>
      <c r="CQ16" s="131"/>
    </row>
    <row r="17" spans="1:95" x14ac:dyDescent="0.2">
      <c r="A17" s="46">
        <f t="shared" si="0"/>
        <v>46</v>
      </c>
      <c r="B17" s="47">
        <f t="shared" si="1"/>
        <v>40494</v>
      </c>
      <c r="C17" s="40" t="s">
        <v>79</v>
      </c>
      <c r="D17" s="47">
        <f t="shared" si="2"/>
        <v>40500</v>
      </c>
      <c r="E17" s="53">
        <v>11625</v>
      </c>
      <c r="F17" s="53">
        <v>7877</v>
      </c>
      <c r="G17" s="53">
        <v>458</v>
      </c>
      <c r="I17" s="53">
        <v>12084</v>
      </c>
      <c r="J17" s="53">
        <v>7993</v>
      </c>
      <c r="K17" s="53">
        <v>354</v>
      </c>
      <c r="M17" s="53">
        <v>7513</v>
      </c>
      <c r="N17" s="53">
        <v>4947</v>
      </c>
      <c r="O17" s="53">
        <v>391</v>
      </c>
      <c r="Q17" s="53">
        <v>5422</v>
      </c>
      <c r="R17" s="53">
        <v>874</v>
      </c>
      <c r="S17" s="53">
        <v>379</v>
      </c>
      <c r="U17" s="53">
        <v>4169</v>
      </c>
      <c r="V17" s="53">
        <v>3334</v>
      </c>
      <c r="W17" s="53">
        <v>218</v>
      </c>
      <c r="Y17" s="53">
        <v>5641</v>
      </c>
      <c r="Z17" s="53">
        <v>1932</v>
      </c>
      <c r="AA17" s="53">
        <v>158</v>
      </c>
      <c r="AC17" s="53">
        <v>6608</v>
      </c>
      <c r="AD17" s="53">
        <v>2527</v>
      </c>
      <c r="AE17" s="53">
        <v>130</v>
      </c>
      <c r="AG17" s="53">
        <v>12831</v>
      </c>
      <c r="AH17" s="53">
        <v>2537</v>
      </c>
      <c r="AI17" s="53">
        <v>415</v>
      </c>
      <c r="AK17" s="71">
        <v>14247</v>
      </c>
      <c r="AL17" s="53">
        <v>4682</v>
      </c>
      <c r="AM17" s="53">
        <v>489</v>
      </c>
      <c r="AN17" s="53"/>
      <c r="AO17" s="53">
        <v>3264</v>
      </c>
      <c r="AP17" s="53">
        <v>2449</v>
      </c>
      <c r="AQ17" s="53">
        <v>80</v>
      </c>
      <c r="AS17" s="53">
        <v>6474</v>
      </c>
      <c r="AT17" s="46">
        <v>758</v>
      </c>
      <c r="AU17" s="46">
        <v>498</v>
      </c>
      <c r="AV17" s="117"/>
      <c r="AW17" s="53">
        <v>2476</v>
      </c>
      <c r="AX17" s="53">
        <v>1574</v>
      </c>
      <c r="AY17" s="53">
        <v>283</v>
      </c>
      <c r="BA17" s="53">
        <v>1177</v>
      </c>
      <c r="BB17" s="53">
        <v>91</v>
      </c>
      <c r="BC17" s="53">
        <v>382</v>
      </c>
      <c r="BD17" s="118"/>
      <c r="BE17" s="144">
        <v>3997</v>
      </c>
      <c r="BF17" s="46">
        <v>155</v>
      </c>
      <c r="BG17" s="122">
        <v>140</v>
      </c>
      <c r="BI17" s="145">
        <v>4472</v>
      </c>
      <c r="BJ17" s="46">
        <v>196</v>
      </c>
      <c r="BK17" s="117">
        <v>50</v>
      </c>
      <c r="BM17" s="132">
        <v>890</v>
      </c>
      <c r="BN17" s="129">
        <v>47</v>
      </c>
      <c r="BO17" s="133">
        <v>13</v>
      </c>
      <c r="BQ17" s="132">
        <v>5271</v>
      </c>
      <c r="BR17" s="132">
        <v>1106</v>
      </c>
      <c r="BS17" s="127">
        <v>12</v>
      </c>
      <c r="BT17" s="124"/>
      <c r="BU17" s="128">
        <v>4825</v>
      </c>
      <c r="BV17" s="143">
        <v>748</v>
      </c>
      <c r="BW17" s="130">
        <v>266</v>
      </c>
      <c r="BX17" s="162"/>
      <c r="BY17" s="131">
        <v>4470</v>
      </c>
      <c r="BZ17" s="131">
        <v>684</v>
      </c>
      <c r="CA17" s="131">
        <v>52</v>
      </c>
      <c r="CB17" s="162"/>
      <c r="CC17" s="167">
        <v>11853</v>
      </c>
      <c r="CD17" s="131">
        <v>737</v>
      </c>
      <c r="CE17" s="169">
        <v>95</v>
      </c>
      <c r="CG17" s="167">
        <v>2532</v>
      </c>
      <c r="CH17" s="131">
        <v>631</v>
      </c>
      <c r="CI17" s="169">
        <v>167</v>
      </c>
      <c r="CK17" s="131"/>
      <c r="CL17" s="131"/>
      <c r="CM17" s="131"/>
      <c r="CO17" s="131"/>
      <c r="CP17" s="131"/>
      <c r="CQ17" s="131"/>
    </row>
    <row r="18" spans="1:95" x14ac:dyDescent="0.2">
      <c r="A18" s="46">
        <f t="shared" si="0"/>
        <v>47</v>
      </c>
      <c r="B18" s="47">
        <f t="shared" si="1"/>
        <v>40501</v>
      </c>
      <c r="C18" s="40" t="s">
        <v>79</v>
      </c>
      <c r="D18" s="47">
        <f t="shared" si="2"/>
        <v>40507</v>
      </c>
      <c r="E18" s="53">
        <v>12528</v>
      </c>
      <c r="F18" s="53">
        <v>9065</v>
      </c>
      <c r="G18" s="53">
        <v>589</v>
      </c>
      <c r="I18" s="53">
        <v>12981</v>
      </c>
      <c r="J18" s="53">
        <v>10238</v>
      </c>
      <c r="K18" s="53">
        <v>434</v>
      </c>
      <c r="M18" s="53">
        <v>10141</v>
      </c>
      <c r="N18" s="53">
        <v>6478</v>
      </c>
      <c r="O18" s="53">
        <v>878</v>
      </c>
      <c r="Q18" s="53">
        <v>10263</v>
      </c>
      <c r="R18" s="53">
        <v>1481</v>
      </c>
      <c r="S18" s="53">
        <v>627</v>
      </c>
      <c r="U18" s="53">
        <v>5005</v>
      </c>
      <c r="V18" s="53">
        <v>4040</v>
      </c>
      <c r="W18" s="53">
        <v>332</v>
      </c>
      <c r="Y18" s="53">
        <v>7162</v>
      </c>
      <c r="Z18" s="53">
        <v>3050</v>
      </c>
      <c r="AA18" s="53">
        <v>202</v>
      </c>
      <c r="AC18" s="53">
        <v>7785</v>
      </c>
      <c r="AD18" s="53">
        <v>3129</v>
      </c>
      <c r="AE18" s="53">
        <v>148</v>
      </c>
      <c r="AG18" s="53">
        <v>14139</v>
      </c>
      <c r="AH18" s="53">
        <v>3464</v>
      </c>
      <c r="AI18" s="53">
        <v>506</v>
      </c>
      <c r="AK18" s="71">
        <v>16379</v>
      </c>
      <c r="AL18" s="53">
        <v>6909</v>
      </c>
      <c r="AM18" s="53">
        <v>631</v>
      </c>
      <c r="AN18" s="53"/>
      <c r="AO18" s="53">
        <v>3562</v>
      </c>
      <c r="AP18" s="53">
        <v>4783</v>
      </c>
      <c r="AQ18" s="53">
        <v>163</v>
      </c>
      <c r="AS18" s="53">
        <v>6972</v>
      </c>
      <c r="AT18" s="53">
        <v>2794</v>
      </c>
      <c r="AU18" s="46">
        <v>666</v>
      </c>
      <c r="AV18" s="117"/>
      <c r="AW18" s="53">
        <v>3112</v>
      </c>
      <c r="AX18" s="53">
        <v>2840</v>
      </c>
      <c r="AY18" s="53">
        <v>369</v>
      </c>
      <c r="BA18" s="53">
        <v>1373</v>
      </c>
      <c r="BB18" s="53">
        <v>208</v>
      </c>
      <c r="BC18" s="53">
        <v>448</v>
      </c>
      <c r="BD18" s="118"/>
      <c r="BE18" s="144">
        <v>4994</v>
      </c>
      <c r="BF18" s="46">
        <v>247</v>
      </c>
      <c r="BG18" s="122">
        <v>291</v>
      </c>
      <c r="BI18" s="145">
        <v>6033</v>
      </c>
      <c r="BJ18" s="46">
        <v>252</v>
      </c>
      <c r="BK18" s="117">
        <v>51</v>
      </c>
      <c r="BM18" s="132">
        <v>1240</v>
      </c>
      <c r="BN18" s="129">
        <v>115</v>
      </c>
      <c r="BO18" s="133">
        <v>14</v>
      </c>
      <c r="BQ18" s="132">
        <v>6238</v>
      </c>
      <c r="BR18" s="132">
        <v>1475</v>
      </c>
      <c r="BS18" s="127">
        <v>16</v>
      </c>
      <c r="BT18" s="124"/>
      <c r="BU18" s="128">
        <v>5719</v>
      </c>
      <c r="BV18" s="143">
        <v>1133</v>
      </c>
      <c r="BW18" s="130">
        <v>337</v>
      </c>
      <c r="BX18" s="162"/>
      <c r="BY18" s="131">
        <v>4803</v>
      </c>
      <c r="BZ18" s="131">
        <v>1463</v>
      </c>
      <c r="CA18" s="131">
        <v>63</v>
      </c>
      <c r="CB18" s="162"/>
      <c r="CC18" s="167">
        <v>13292</v>
      </c>
      <c r="CD18" s="131">
        <v>1669</v>
      </c>
      <c r="CE18" s="169">
        <v>155</v>
      </c>
      <c r="CG18" s="167">
        <v>3731</v>
      </c>
      <c r="CH18" s="131">
        <v>1020</v>
      </c>
      <c r="CI18" s="169">
        <v>341</v>
      </c>
      <c r="CK18" s="131"/>
      <c r="CL18" s="131"/>
      <c r="CM18" s="131"/>
      <c r="CO18" s="131"/>
      <c r="CP18" s="131"/>
      <c r="CQ18" s="131"/>
    </row>
    <row r="19" spans="1:95" x14ac:dyDescent="0.2">
      <c r="A19" s="46">
        <f t="shared" si="0"/>
        <v>48</v>
      </c>
      <c r="B19" s="47">
        <f>B18+7</f>
        <v>40508</v>
      </c>
      <c r="C19" s="40" t="s">
        <v>79</v>
      </c>
      <c r="D19" s="47">
        <f>D18+7</f>
        <v>40514</v>
      </c>
      <c r="E19" s="53">
        <v>12962</v>
      </c>
      <c r="F19" s="53">
        <v>10138</v>
      </c>
      <c r="G19" s="53">
        <v>708</v>
      </c>
      <c r="I19" s="53">
        <v>13517</v>
      </c>
      <c r="J19" s="53">
        <v>12860</v>
      </c>
      <c r="K19" s="53">
        <v>515</v>
      </c>
      <c r="M19" s="53">
        <v>11084</v>
      </c>
      <c r="N19" s="53">
        <v>7884</v>
      </c>
      <c r="O19" s="53">
        <v>1075</v>
      </c>
      <c r="Q19" s="53">
        <v>13490</v>
      </c>
      <c r="R19" s="53">
        <v>2184</v>
      </c>
      <c r="S19" s="53">
        <v>685</v>
      </c>
      <c r="U19" s="53">
        <v>5207</v>
      </c>
      <c r="V19" s="53">
        <v>4644</v>
      </c>
      <c r="W19" s="53">
        <v>470</v>
      </c>
      <c r="Y19" s="53">
        <v>7383</v>
      </c>
      <c r="Z19" s="53">
        <v>3162</v>
      </c>
      <c r="AA19" s="53">
        <v>214</v>
      </c>
      <c r="AC19" s="53">
        <v>8594</v>
      </c>
      <c r="AD19" s="53">
        <v>3586</v>
      </c>
      <c r="AE19" s="53">
        <v>158</v>
      </c>
      <c r="AG19" s="53">
        <v>15258</v>
      </c>
      <c r="AH19" s="53">
        <v>4288</v>
      </c>
      <c r="AI19" s="53">
        <v>973</v>
      </c>
      <c r="AK19" s="71">
        <v>17411</v>
      </c>
      <c r="AL19" s="53">
        <v>7714</v>
      </c>
      <c r="AM19" s="53">
        <v>1106</v>
      </c>
      <c r="AN19" s="53"/>
      <c r="AO19" s="53">
        <v>3780</v>
      </c>
      <c r="AP19" s="53">
        <v>5657</v>
      </c>
      <c r="AQ19" s="53">
        <v>252</v>
      </c>
      <c r="AS19" s="53">
        <v>7138</v>
      </c>
      <c r="AT19" s="53">
        <v>3024</v>
      </c>
      <c r="AU19" s="46">
        <v>996</v>
      </c>
      <c r="AV19" s="117"/>
      <c r="AW19" s="53">
        <v>3270</v>
      </c>
      <c r="AX19" s="53">
        <v>3004</v>
      </c>
      <c r="AY19" s="53">
        <v>408</v>
      </c>
      <c r="BA19" s="53">
        <v>1500</v>
      </c>
      <c r="BB19" s="53">
        <v>393</v>
      </c>
      <c r="BC19" s="53">
        <v>525</v>
      </c>
      <c r="BD19" s="118"/>
      <c r="BE19" s="144">
        <v>5524</v>
      </c>
      <c r="BF19" s="46">
        <v>342</v>
      </c>
      <c r="BG19" s="122">
        <v>615</v>
      </c>
      <c r="BI19" s="145">
        <v>6815</v>
      </c>
      <c r="BJ19" s="46">
        <v>483</v>
      </c>
      <c r="BK19" s="117">
        <v>150</v>
      </c>
      <c r="BM19" s="132">
        <v>1373</v>
      </c>
      <c r="BN19" s="129">
        <v>242</v>
      </c>
      <c r="BO19" s="133">
        <v>14</v>
      </c>
      <c r="BQ19" s="132">
        <v>6978</v>
      </c>
      <c r="BR19" s="132">
        <v>1670</v>
      </c>
      <c r="BS19" s="127">
        <v>25</v>
      </c>
      <c r="BT19" s="124"/>
      <c r="BU19" s="128">
        <v>5950</v>
      </c>
      <c r="BV19" s="143">
        <v>1508</v>
      </c>
      <c r="BW19" s="130">
        <v>418</v>
      </c>
      <c r="BX19" s="162"/>
      <c r="BY19" s="131">
        <v>4908</v>
      </c>
      <c r="BZ19" s="131">
        <v>1685</v>
      </c>
      <c r="CA19" s="131">
        <v>74</v>
      </c>
      <c r="CB19" s="162"/>
      <c r="CC19" s="167">
        <v>14903</v>
      </c>
      <c r="CD19" s="131">
        <v>2127</v>
      </c>
      <c r="CE19" s="169">
        <v>232</v>
      </c>
      <c r="CG19" s="167">
        <v>4257</v>
      </c>
      <c r="CH19" s="131">
        <v>1110</v>
      </c>
      <c r="CI19" s="169">
        <v>495</v>
      </c>
      <c r="CK19" s="131"/>
      <c r="CL19" s="131"/>
      <c r="CM19" s="131"/>
      <c r="CO19" s="131"/>
      <c r="CP19" s="131"/>
      <c r="CQ19" s="131"/>
    </row>
    <row r="20" spans="1:95" x14ac:dyDescent="0.2">
      <c r="A20" s="46">
        <f t="shared" si="0"/>
        <v>49</v>
      </c>
      <c r="B20" s="47">
        <f>B19+7</f>
        <v>40515</v>
      </c>
      <c r="C20" s="40" t="s">
        <v>79</v>
      </c>
      <c r="D20" s="47">
        <f>D19+7</f>
        <v>40521</v>
      </c>
      <c r="E20" s="53">
        <v>13054</v>
      </c>
      <c r="F20" s="53">
        <v>10416</v>
      </c>
      <c r="G20" s="53">
        <v>748</v>
      </c>
      <c r="I20" s="53">
        <v>13749</v>
      </c>
      <c r="J20" s="53">
        <v>15531</v>
      </c>
      <c r="K20" s="53">
        <v>908</v>
      </c>
      <c r="M20" s="53">
        <v>11451</v>
      </c>
      <c r="N20" s="53">
        <v>8839</v>
      </c>
      <c r="O20" s="53">
        <v>1153</v>
      </c>
      <c r="Q20" s="53">
        <v>16050</v>
      </c>
      <c r="R20" s="53">
        <v>2602</v>
      </c>
      <c r="S20" s="53">
        <v>854</v>
      </c>
      <c r="U20" s="53">
        <v>5241</v>
      </c>
      <c r="V20" s="53">
        <v>4942</v>
      </c>
      <c r="W20" s="53">
        <v>557</v>
      </c>
      <c r="Y20" s="53">
        <v>7465</v>
      </c>
      <c r="Z20" s="53">
        <v>3253</v>
      </c>
      <c r="AA20" s="53">
        <v>260</v>
      </c>
      <c r="AC20" s="53">
        <v>8969</v>
      </c>
      <c r="AD20" s="53">
        <v>4153</v>
      </c>
      <c r="AE20" s="53">
        <v>221</v>
      </c>
      <c r="AG20" s="53">
        <v>15595</v>
      </c>
      <c r="AH20" s="53">
        <v>4573</v>
      </c>
      <c r="AI20" s="53">
        <v>1174</v>
      </c>
      <c r="AK20" s="71">
        <v>17576</v>
      </c>
      <c r="AL20" s="53">
        <v>8140</v>
      </c>
      <c r="AM20" s="53">
        <v>2566</v>
      </c>
      <c r="AN20" s="53"/>
      <c r="AO20" s="53">
        <v>3844</v>
      </c>
      <c r="AP20" s="53">
        <v>6017</v>
      </c>
      <c r="AQ20" s="53">
        <v>282</v>
      </c>
      <c r="AS20" s="71">
        <v>7189</v>
      </c>
      <c r="AT20" s="53">
        <v>3227</v>
      </c>
      <c r="AU20" s="46">
        <v>1286</v>
      </c>
      <c r="AV20" s="117"/>
      <c r="AW20" s="71">
        <v>3349</v>
      </c>
      <c r="AX20" s="71">
        <v>3264</v>
      </c>
      <c r="AY20" s="53">
        <v>482</v>
      </c>
      <c r="BA20" s="71">
        <v>1539</v>
      </c>
      <c r="BB20" s="71">
        <v>451</v>
      </c>
      <c r="BC20" s="53">
        <v>540</v>
      </c>
      <c r="BD20" s="118"/>
      <c r="BE20" s="144">
        <v>5612</v>
      </c>
      <c r="BF20" s="46">
        <v>396</v>
      </c>
      <c r="BG20" s="122">
        <v>731</v>
      </c>
      <c r="BI20" s="145">
        <v>7163</v>
      </c>
      <c r="BJ20" s="46">
        <v>615</v>
      </c>
      <c r="BK20" s="117">
        <v>331</v>
      </c>
      <c r="BM20" s="132">
        <v>1540</v>
      </c>
      <c r="BN20" s="129">
        <v>341</v>
      </c>
      <c r="BO20" s="133">
        <v>15</v>
      </c>
      <c r="BQ20" s="132">
        <v>7057</v>
      </c>
      <c r="BR20" s="132">
        <v>1836</v>
      </c>
      <c r="BS20" s="127">
        <v>30</v>
      </c>
      <c r="BT20" s="124"/>
      <c r="BU20" s="128">
        <v>5958</v>
      </c>
      <c r="BV20" s="143">
        <v>1842</v>
      </c>
      <c r="BW20" s="130">
        <v>418</v>
      </c>
      <c r="BX20" s="162"/>
      <c r="BY20" s="131">
        <v>4922</v>
      </c>
      <c r="BZ20" s="131">
        <v>2232</v>
      </c>
      <c r="CA20" s="131">
        <v>87</v>
      </c>
      <c r="CB20" s="162"/>
      <c r="CC20" s="167">
        <v>15412</v>
      </c>
      <c r="CD20" s="131">
        <v>2347</v>
      </c>
      <c r="CE20" s="169">
        <v>269</v>
      </c>
      <c r="CG20" s="167">
        <v>4763</v>
      </c>
      <c r="CH20" s="131">
        <v>1177</v>
      </c>
      <c r="CI20" s="169">
        <v>534</v>
      </c>
      <c r="CK20" s="131"/>
      <c r="CL20" s="131"/>
      <c r="CM20" s="131"/>
      <c r="CO20" s="131"/>
      <c r="CP20" s="131"/>
      <c r="CQ20" s="131"/>
    </row>
    <row r="21" spans="1:95" ht="14.25" x14ac:dyDescent="0.2">
      <c r="A21" s="46">
        <f t="shared" si="0"/>
        <v>50</v>
      </c>
      <c r="B21" s="47">
        <f>B20+7</f>
        <v>40522</v>
      </c>
      <c r="C21" s="40" t="s">
        <v>79</v>
      </c>
      <c r="D21" s="47">
        <f>D20+7</f>
        <v>40528</v>
      </c>
      <c r="E21" s="53">
        <v>13107</v>
      </c>
      <c r="F21" s="53">
        <v>10850</v>
      </c>
      <c r="G21" s="53">
        <v>1313</v>
      </c>
      <c r="I21" s="53">
        <v>13798</v>
      </c>
      <c r="J21" s="53">
        <v>17018</v>
      </c>
      <c r="K21" s="53">
        <v>1468</v>
      </c>
      <c r="M21" s="53">
        <v>11550</v>
      </c>
      <c r="N21" s="53">
        <v>10068</v>
      </c>
      <c r="O21" s="53">
        <v>1978</v>
      </c>
      <c r="Q21" s="53">
        <v>17328</v>
      </c>
      <c r="R21" s="53">
        <v>2802</v>
      </c>
      <c r="S21" s="53">
        <v>1847</v>
      </c>
      <c r="U21" s="53">
        <v>5248</v>
      </c>
      <c r="V21" s="53">
        <v>5081</v>
      </c>
      <c r="W21" s="53">
        <v>607</v>
      </c>
      <c r="Y21" s="53">
        <v>7479</v>
      </c>
      <c r="Z21" s="53">
        <v>3290</v>
      </c>
      <c r="AA21" s="53">
        <v>267</v>
      </c>
      <c r="AC21" s="53">
        <v>9046</v>
      </c>
      <c r="AD21" s="53">
        <v>4371</v>
      </c>
      <c r="AE21" s="53">
        <v>490</v>
      </c>
      <c r="AG21" s="53">
        <v>15699</v>
      </c>
      <c r="AH21" s="53">
        <v>4703</v>
      </c>
      <c r="AI21" s="53">
        <v>1325</v>
      </c>
      <c r="AK21" s="71">
        <v>17590</v>
      </c>
      <c r="AL21" s="53">
        <v>8201</v>
      </c>
      <c r="AM21" s="53">
        <v>2914</v>
      </c>
      <c r="AN21" s="53"/>
      <c r="AO21" s="53">
        <v>3849</v>
      </c>
      <c r="AP21" s="53">
        <v>6367</v>
      </c>
      <c r="AQ21" s="53">
        <v>307</v>
      </c>
      <c r="AS21" s="51" t="s">
        <v>109</v>
      </c>
      <c r="AT21" s="53">
        <v>3267</v>
      </c>
      <c r="AU21" s="46">
        <v>1653</v>
      </c>
      <c r="AV21" s="117"/>
      <c r="AW21" s="51" t="s">
        <v>110</v>
      </c>
      <c r="AX21" s="71">
        <v>3319</v>
      </c>
      <c r="AY21" s="53">
        <v>1154</v>
      </c>
      <c r="BA21" s="71">
        <v>1540</v>
      </c>
      <c r="BB21" s="71">
        <v>524</v>
      </c>
      <c r="BC21" s="53">
        <v>582</v>
      </c>
      <c r="BD21" s="118"/>
      <c r="BE21" s="144">
        <v>5626</v>
      </c>
      <c r="BF21" s="46">
        <v>400</v>
      </c>
      <c r="BG21" s="122">
        <v>763</v>
      </c>
      <c r="BI21" s="145">
        <v>7268</v>
      </c>
      <c r="BJ21" s="46">
        <v>652</v>
      </c>
      <c r="BK21" s="117">
        <v>530</v>
      </c>
      <c r="BM21" s="132">
        <v>1551</v>
      </c>
      <c r="BN21" s="129">
        <v>502</v>
      </c>
      <c r="BO21" s="133">
        <v>20</v>
      </c>
      <c r="BQ21" s="132">
        <v>7083</v>
      </c>
      <c r="BR21" s="132">
        <v>2141</v>
      </c>
      <c r="BS21" s="127">
        <v>36</v>
      </c>
      <c r="BT21" s="124"/>
      <c r="BU21" s="128">
        <v>5966</v>
      </c>
      <c r="BV21" s="143">
        <v>2265</v>
      </c>
      <c r="BW21" s="130">
        <v>418</v>
      </c>
      <c r="BX21" s="162"/>
      <c r="BY21" s="131">
        <v>4926</v>
      </c>
      <c r="BZ21" s="131">
        <v>2928</v>
      </c>
      <c r="CA21" s="131">
        <v>106</v>
      </c>
      <c r="CB21" s="162"/>
      <c r="CC21" s="167">
        <v>15523</v>
      </c>
      <c r="CD21" s="131">
        <v>2521</v>
      </c>
      <c r="CE21" s="169">
        <v>418</v>
      </c>
      <c r="CG21" s="167">
        <v>4777</v>
      </c>
      <c r="CH21" s="131">
        <v>1194</v>
      </c>
      <c r="CI21" s="169">
        <v>547</v>
      </c>
      <c r="CK21" s="131"/>
      <c r="CL21" s="131"/>
      <c r="CM21" s="131"/>
      <c r="CO21" s="131"/>
      <c r="CP21" s="131"/>
      <c r="CQ21" s="131"/>
    </row>
    <row r="22" spans="1:95" ht="14.25" x14ac:dyDescent="0.2">
      <c r="A22" s="46">
        <f t="shared" si="0"/>
        <v>51</v>
      </c>
      <c r="B22" s="47">
        <f>B21+7</f>
        <v>40529</v>
      </c>
      <c r="C22" s="40" t="s">
        <v>79</v>
      </c>
      <c r="D22" s="47">
        <f>D21+7</f>
        <v>40535</v>
      </c>
      <c r="E22" s="53">
        <v>13127</v>
      </c>
      <c r="F22" s="53">
        <v>10900</v>
      </c>
      <c r="G22" s="53">
        <v>1575</v>
      </c>
      <c r="I22" s="53">
        <v>13802</v>
      </c>
      <c r="J22" s="53">
        <v>18146</v>
      </c>
      <c r="K22" s="53">
        <v>2298</v>
      </c>
      <c r="M22" s="52">
        <v>11560</v>
      </c>
      <c r="N22" s="53">
        <v>10292</v>
      </c>
      <c r="O22" s="53">
        <v>3221</v>
      </c>
      <c r="Q22" s="53">
        <v>17859</v>
      </c>
      <c r="R22" s="53">
        <v>2884</v>
      </c>
      <c r="S22" s="53">
        <v>2496</v>
      </c>
      <c r="U22" s="53">
        <v>5248</v>
      </c>
      <c r="V22" s="53">
        <v>5142</v>
      </c>
      <c r="W22" s="53">
        <v>665</v>
      </c>
      <c r="Y22" s="53">
        <v>7487</v>
      </c>
      <c r="Z22" s="53">
        <v>3343</v>
      </c>
      <c r="AA22" s="53">
        <v>528</v>
      </c>
      <c r="AC22" s="53">
        <v>9048</v>
      </c>
      <c r="AD22" s="53">
        <v>4411</v>
      </c>
      <c r="AE22" s="53">
        <v>710</v>
      </c>
      <c r="AG22" s="53">
        <v>15721</v>
      </c>
      <c r="AH22" s="53">
        <v>4789</v>
      </c>
      <c r="AI22" s="53">
        <v>1554</v>
      </c>
      <c r="AK22" s="71">
        <v>17594</v>
      </c>
      <c r="AL22" s="53">
        <v>8228</v>
      </c>
      <c r="AM22" s="53">
        <v>2997</v>
      </c>
      <c r="AN22" s="53"/>
      <c r="AO22" s="53">
        <v>3850</v>
      </c>
      <c r="AP22" s="53">
        <v>6471</v>
      </c>
      <c r="AQ22" s="53">
        <v>339</v>
      </c>
      <c r="AS22" s="53"/>
      <c r="AT22" s="53">
        <v>3273</v>
      </c>
      <c r="AU22" s="46">
        <v>1819</v>
      </c>
      <c r="AV22" s="117"/>
      <c r="AW22" s="53"/>
      <c r="AX22" s="53">
        <v>3330</v>
      </c>
      <c r="AY22" s="53">
        <v>1330</v>
      </c>
      <c r="BA22" s="71">
        <v>1543</v>
      </c>
      <c r="BB22" s="53">
        <v>527</v>
      </c>
      <c r="BC22" s="53">
        <v>805</v>
      </c>
      <c r="BD22" s="118"/>
      <c r="BE22" s="244" t="s">
        <v>169</v>
      </c>
      <c r="BF22" s="46">
        <v>411</v>
      </c>
      <c r="BG22" s="122">
        <v>783</v>
      </c>
      <c r="BI22" s="46">
        <v>7283</v>
      </c>
      <c r="BJ22" s="46">
        <v>682</v>
      </c>
      <c r="BK22" s="117">
        <v>583</v>
      </c>
      <c r="BM22" s="132">
        <v>1577</v>
      </c>
      <c r="BN22" s="129">
        <v>624</v>
      </c>
      <c r="BO22" s="133">
        <v>20</v>
      </c>
      <c r="BQ22" s="132">
        <v>7102</v>
      </c>
      <c r="BR22" s="132">
        <v>2327</v>
      </c>
      <c r="BS22" s="127">
        <v>41</v>
      </c>
      <c r="BT22" s="60"/>
      <c r="BU22" s="128">
        <v>5957</v>
      </c>
      <c r="BV22" s="143">
        <v>2313</v>
      </c>
      <c r="BW22" s="130">
        <v>419</v>
      </c>
      <c r="BX22" s="162"/>
      <c r="BY22" s="131">
        <v>4929</v>
      </c>
      <c r="BZ22" s="131">
        <v>3018</v>
      </c>
      <c r="CA22" s="131">
        <v>121</v>
      </c>
      <c r="CB22" s="162"/>
      <c r="CC22" s="167">
        <v>15533</v>
      </c>
      <c r="CD22" s="131">
        <v>2540</v>
      </c>
      <c r="CE22" s="169">
        <v>431</v>
      </c>
      <c r="CG22" s="167">
        <v>4811</v>
      </c>
      <c r="CH22" s="131">
        <v>1254</v>
      </c>
      <c r="CI22" s="169">
        <v>916</v>
      </c>
      <c r="CK22" s="131"/>
      <c r="CL22" s="131"/>
      <c r="CM22" s="131"/>
      <c r="CO22" s="131"/>
      <c r="CP22" s="131"/>
      <c r="CQ22" s="131"/>
    </row>
    <row r="23" spans="1:95" ht="15" thickBot="1" x14ac:dyDescent="0.25">
      <c r="A23" s="46">
        <f t="shared" si="0"/>
        <v>52</v>
      </c>
      <c r="B23" s="47">
        <f>B22+7</f>
        <v>40536</v>
      </c>
      <c r="C23" s="40" t="s">
        <v>79</v>
      </c>
      <c r="D23" s="47">
        <v>40543</v>
      </c>
      <c r="E23" s="52">
        <v>13129</v>
      </c>
      <c r="F23" s="53">
        <v>10977</v>
      </c>
      <c r="G23" s="53">
        <v>1979</v>
      </c>
      <c r="I23" s="53">
        <v>13802</v>
      </c>
      <c r="J23" s="53">
        <v>18302</v>
      </c>
      <c r="K23" s="53">
        <v>3392</v>
      </c>
      <c r="M23" s="53"/>
      <c r="N23" s="53">
        <v>10364</v>
      </c>
      <c r="O23" s="53">
        <v>3980</v>
      </c>
      <c r="Q23" s="53">
        <v>18057</v>
      </c>
      <c r="R23" s="53">
        <v>2905</v>
      </c>
      <c r="S23" s="53">
        <v>2910</v>
      </c>
      <c r="U23" s="53">
        <v>5248</v>
      </c>
      <c r="V23" s="53">
        <v>5175</v>
      </c>
      <c r="W23" s="53">
        <v>787</v>
      </c>
      <c r="Y23" s="53">
        <v>7492</v>
      </c>
      <c r="Z23" s="53">
        <v>3346</v>
      </c>
      <c r="AA23" s="53">
        <v>826</v>
      </c>
      <c r="AC23" s="52">
        <v>9049</v>
      </c>
      <c r="AD23" s="53">
        <v>4424</v>
      </c>
      <c r="AE23" s="53">
        <v>873</v>
      </c>
      <c r="AG23" s="52">
        <v>15721</v>
      </c>
      <c r="AH23" s="53">
        <v>4798</v>
      </c>
      <c r="AI23" s="53">
        <v>1620</v>
      </c>
      <c r="AK23" s="71">
        <v>17594</v>
      </c>
      <c r="AL23" s="53">
        <v>8236</v>
      </c>
      <c r="AM23" s="53">
        <v>3011</v>
      </c>
      <c r="AN23" s="53"/>
      <c r="AO23" s="54">
        <v>3851</v>
      </c>
      <c r="AP23" s="53">
        <v>6586</v>
      </c>
      <c r="AQ23" s="53">
        <v>480</v>
      </c>
      <c r="AS23" s="53"/>
      <c r="AT23" s="53">
        <v>3273</v>
      </c>
      <c r="AU23" s="40">
        <v>1920</v>
      </c>
      <c r="AV23" s="146"/>
      <c r="AW23" s="53"/>
      <c r="AX23" s="51">
        <v>3337</v>
      </c>
      <c r="AY23" s="71">
        <v>1558</v>
      </c>
      <c r="BA23" s="147" t="s">
        <v>168</v>
      </c>
      <c r="BB23" s="147">
        <v>527</v>
      </c>
      <c r="BC23" s="71">
        <v>843</v>
      </c>
      <c r="BD23" s="148"/>
      <c r="BF23" s="46">
        <v>416</v>
      </c>
      <c r="BG23" s="122">
        <v>790</v>
      </c>
      <c r="BI23" s="145">
        <v>7296</v>
      </c>
      <c r="BJ23" s="36">
        <v>745</v>
      </c>
      <c r="BK23" s="117">
        <v>847</v>
      </c>
      <c r="BM23" s="140" t="s">
        <v>111</v>
      </c>
      <c r="BN23" s="149">
        <v>649</v>
      </c>
      <c r="BO23" s="133">
        <v>47</v>
      </c>
      <c r="BQ23" s="132">
        <v>7102</v>
      </c>
      <c r="BR23" s="132">
        <v>2327</v>
      </c>
      <c r="BS23" s="127">
        <v>41</v>
      </c>
      <c r="BT23" s="124"/>
      <c r="BU23" s="245" t="s">
        <v>171</v>
      </c>
      <c r="BV23" s="143">
        <v>2365</v>
      </c>
      <c r="BW23" s="130">
        <v>549</v>
      </c>
      <c r="BX23" s="162"/>
      <c r="BY23" s="131">
        <v>4929</v>
      </c>
      <c r="BZ23" s="131">
        <v>3466</v>
      </c>
      <c r="CA23" s="131">
        <v>187</v>
      </c>
      <c r="CB23" s="162"/>
      <c r="CC23" s="167">
        <v>15535</v>
      </c>
      <c r="CD23" s="136">
        <v>2548</v>
      </c>
      <c r="CE23" s="169">
        <v>472</v>
      </c>
      <c r="CG23" s="167">
        <v>4811</v>
      </c>
      <c r="CH23" s="131">
        <v>1258</v>
      </c>
      <c r="CI23" s="169">
        <v>1046</v>
      </c>
      <c r="CK23" s="131"/>
      <c r="CL23" s="131"/>
      <c r="CM23" s="131"/>
      <c r="CO23" s="131"/>
      <c r="CP23" s="131"/>
      <c r="CQ23" s="131"/>
    </row>
    <row r="24" spans="1:95" x14ac:dyDescent="0.2">
      <c r="A24" s="46">
        <v>1</v>
      </c>
      <c r="B24" s="47">
        <v>40179</v>
      </c>
      <c r="C24" s="40" t="s">
        <v>79</v>
      </c>
      <c r="D24" s="47">
        <v>40185</v>
      </c>
      <c r="F24" s="53">
        <v>10982</v>
      </c>
      <c r="G24" s="53">
        <v>2532</v>
      </c>
      <c r="I24" s="53">
        <v>13802</v>
      </c>
      <c r="J24" s="53">
        <v>18349</v>
      </c>
      <c r="K24" s="53">
        <v>5083</v>
      </c>
      <c r="M24" s="53"/>
      <c r="N24" s="53">
        <v>10387</v>
      </c>
      <c r="O24" s="53">
        <v>4838</v>
      </c>
      <c r="Q24" s="53">
        <v>18102</v>
      </c>
      <c r="R24" s="53">
        <v>2917</v>
      </c>
      <c r="S24" s="53">
        <v>3374</v>
      </c>
      <c r="U24" s="53">
        <v>5248</v>
      </c>
      <c r="V24" s="52">
        <v>5178</v>
      </c>
      <c r="W24" s="53">
        <v>901</v>
      </c>
      <c r="Y24" s="52">
        <v>7494</v>
      </c>
      <c r="Z24" s="53">
        <v>3351</v>
      </c>
      <c r="AA24" s="53">
        <v>1200</v>
      </c>
      <c r="AD24" s="53">
        <v>4429</v>
      </c>
      <c r="AE24" s="53">
        <v>946</v>
      </c>
      <c r="AG24" s="46"/>
      <c r="AH24" s="52">
        <v>4810</v>
      </c>
      <c r="AI24" s="53">
        <v>1963</v>
      </c>
      <c r="AK24" s="52">
        <v>17595</v>
      </c>
      <c r="AL24" s="52">
        <v>8238</v>
      </c>
      <c r="AM24" s="53">
        <v>3240</v>
      </c>
      <c r="AN24" s="53"/>
      <c r="AO24" s="52">
        <v>3851</v>
      </c>
      <c r="AP24" s="53">
        <v>6586</v>
      </c>
      <c r="AQ24" s="53">
        <v>480</v>
      </c>
      <c r="AS24" s="52"/>
      <c r="AT24" s="53">
        <v>3273</v>
      </c>
      <c r="AU24" s="53">
        <v>1986</v>
      </c>
      <c r="AV24" s="118"/>
      <c r="AW24" s="52"/>
      <c r="AX24" s="71"/>
      <c r="AY24" s="53">
        <v>1651</v>
      </c>
      <c r="BA24" s="52"/>
      <c r="BB24" s="71"/>
      <c r="BC24" s="53">
        <v>864</v>
      </c>
      <c r="BD24" s="118"/>
      <c r="BF24" s="46">
        <v>417</v>
      </c>
      <c r="BG24" s="122">
        <v>806</v>
      </c>
      <c r="BI24" s="145">
        <v>7303</v>
      </c>
      <c r="BK24" s="117">
        <v>940</v>
      </c>
      <c r="BM24" s="143"/>
      <c r="BN24" s="143"/>
      <c r="BO24" s="133">
        <v>56</v>
      </c>
      <c r="BQ24" s="132">
        <v>7102</v>
      </c>
      <c r="BR24" s="132">
        <v>2331</v>
      </c>
      <c r="BS24" s="127">
        <v>66</v>
      </c>
      <c r="BU24" s="128"/>
      <c r="BV24" s="143">
        <v>2366</v>
      </c>
      <c r="BW24" s="130">
        <v>604</v>
      </c>
      <c r="BX24" s="162"/>
      <c r="BY24" s="131">
        <v>4929</v>
      </c>
      <c r="BZ24" s="131">
        <v>3503</v>
      </c>
      <c r="CA24" s="131">
        <v>462</v>
      </c>
      <c r="CB24" s="162"/>
      <c r="CC24" s="167">
        <v>15535</v>
      </c>
      <c r="CD24" s="131"/>
      <c r="CE24" s="169">
        <v>540</v>
      </c>
      <c r="CG24" s="240">
        <v>4812</v>
      </c>
      <c r="CH24" s="136">
        <v>1259</v>
      </c>
      <c r="CI24" s="226">
        <v>1194</v>
      </c>
      <c r="CK24" s="131"/>
      <c r="CL24" s="136"/>
      <c r="CM24" s="131"/>
      <c r="CO24" s="241"/>
      <c r="CP24" s="136"/>
      <c r="CQ24" s="136"/>
    </row>
    <row r="25" spans="1:95" ht="14.25" x14ac:dyDescent="0.2">
      <c r="A25" s="46">
        <v>2</v>
      </c>
      <c r="B25" s="47">
        <f>+B24+7</f>
        <v>40186</v>
      </c>
      <c r="C25" s="40" t="s">
        <v>79</v>
      </c>
      <c r="D25" s="47">
        <f>+D24+7</f>
        <v>40192</v>
      </c>
      <c r="F25" s="53">
        <v>10982</v>
      </c>
      <c r="G25" s="53">
        <v>2991</v>
      </c>
      <c r="I25" s="52">
        <v>13803</v>
      </c>
      <c r="J25" s="53">
        <v>18356</v>
      </c>
      <c r="K25" s="53">
        <v>6335</v>
      </c>
      <c r="M25" s="53"/>
      <c r="N25" s="53">
        <v>10391</v>
      </c>
      <c r="O25" s="53">
        <v>5823</v>
      </c>
      <c r="Q25" s="53">
        <v>18110</v>
      </c>
      <c r="R25" s="53">
        <v>2919</v>
      </c>
      <c r="S25" s="53">
        <v>4477</v>
      </c>
      <c r="U25" s="52">
        <v>5249</v>
      </c>
      <c r="V25" s="53"/>
      <c r="W25" s="53">
        <v>1170</v>
      </c>
      <c r="Y25" s="53"/>
      <c r="Z25" s="53">
        <v>3351</v>
      </c>
      <c r="AA25" s="53">
        <v>1995</v>
      </c>
      <c r="AD25" s="52">
        <v>4431</v>
      </c>
      <c r="AE25" s="53">
        <v>992</v>
      </c>
      <c r="AG25" s="46"/>
      <c r="AH25" s="46"/>
      <c r="AI25" s="53">
        <v>2648</v>
      </c>
      <c r="AK25" s="52"/>
      <c r="AL25" s="53"/>
      <c r="AM25" s="53">
        <v>3547</v>
      </c>
      <c r="AN25" s="53"/>
      <c r="AO25" s="53"/>
      <c r="AP25" s="53">
        <v>6628</v>
      </c>
      <c r="AQ25" s="53">
        <v>907</v>
      </c>
      <c r="AS25" s="53"/>
      <c r="AT25" s="53">
        <v>3273</v>
      </c>
      <c r="AU25" s="53">
        <v>2047</v>
      </c>
      <c r="AV25" s="118"/>
      <c r="AW25" s="53"/>
      <c r="AX25" s="53"/>
      <c r="AY25" s="53">
        <v>1956</v>
      </c>
      <c r="BA25" s="53"/>
      <c r="BB25" s="53"/>
      <c r="BC25" s="53">
        <v>886</v>
      </c>
      <c r="BD25" s="118"/>
      <c r="BF25" s="46">
        <v>417</v>
      </c>
      <c r="BG25" s="150">
        <v>922</v>
      </c>
      <c r="BH25" s="53"/>
      <c r="BI25" s="145">
        <v>7304</v>
      </c>
      <c r="BK25" s="117">
        <v>964</v>
      </c>
      <c r="BM25" s="143"/>
      <c r="BN25" s="143"/>
      <c r="BO25" s="133">
        <v>64</v>
      </c>
      <c r="BQ25" s="140" t="s">
        <v>170</v>
      </c>
      <c r="BR25" s="140">
        <v>2333</v>
      </c>
      <c r="BS25" s="127">
        <v>156</v>
      </c>
      <c r="BU25" s="128"/>
      <c r="BV25" s="99">
        <v>2383</v>
      </c>
      <c r="BW25" s="130">
        <v>688</v>
      </c>
      <c r="BX25" s="162"/>
      <c r="BY25" s="131">
        <v>4929</v>
      </c>
      <c r="BZ25" s="136">
        <v>3507</v>
      </c>
      <c r="CA25" s="131">
        <v>705</v>
      </c>
      <c r="CB25" s="162"/>
      <c r="CC25" s="167">
        <v>15535</v>
      </c>
      <c r="CD25" s="131"/>
      <c r="CE25" s="169">
        <v>621</v>
      </c>
      <c r="CG25" s="243" t="s">
        <v>177</v>
      </c>
      <c r="CH25" s="131"/>
      <c r="CI25" s="169">
        <v>1296</v>
      </c>
      <c r="CK25" s="136"/>
      <c r="CL25" s="131"/>
      <c r="CM25" s="131"/>
      <c r="CO25" s="131"/>
      <c r="CP25" s="131"/>
      <c r="CQ25" s="131"/>
    </row>
    <row r="26" spans="1:95" ht="14.25" x14ac:dyDescent="0.2">
      <c r="A26" s="46">
        <v>3</v>
      </c>
      <c r="B26" s="47">
        <f t="shared" ref="B26:B35" si="3">+B25+7</f>
        <v>40193</v>
      </c>
      <c r="C26" s="40" t="s">
        <v>79</v>
      </c>
      <c r="D26" s="47">
        <f t="shared" ref="D26:D35" si="4">+D25+7</f>
        <v>40199</v>
      </c>
      <c r="F26" s="53">
        <v>10982</v>
      </c>
      <c r="G26" s="53">
        <v>3468</v>
      </c>
      <c r="J26" s="52">
        <v>18357</v>
      </c>
      <c r="K26" s="53">
        <v>7074</v>
      </c>
      <c r="M26" s="53"/>
      <c r="N26" s="53">
        <v>10399</v>
      </c>
      <c r="O26" s="53">
        <v>6304</v>
      </c>
      <c r="Q26" s="52">
        <v>18112</v>
      </c>
      <c r="R26" s="53">
        <v>2919</v>
      </c>
      <c r="S26" s="53">
        <v>5711</v>
      </c>
      <c r="U26" s="53"/>
      <c r="V26" s="53"/>
      <c r="W26" s="53">
        <v>1440</v>
      </c>
      <c r="Y26" s="53"/>
      <c r="Z26" s="52">
        <v>3352</v>
      </c>
      <c r="AA26" s="53">
        <v>2733</v>
      </c>
      <c r="AE26" s="53">
        <v>1217</v>
      </c>
      <c r="AG26" s="46"/>
      <c r="AH26" s="46"/>
      <c r="AI26" s="53">
        <v>3060</v>
      </c>
      <c r="AK26" s="52"/>
      <c r="AL26" s="53"/>
      <c r="AM26" s="53">
        <v>3788</v>
      </c>
      <c r="AN26" s="53"/>
      <c r="AO26" s="53"/>
      <c r="AP26" s="54">
        <v>6631</v>
      </c>
      <c r="AQ26" s="53">
        <v>1212</v>
      </c>
      <c r="AS26" s="53"/>
      <c r="AT26" s="51">
        <v>3274</v>
      </c>
      <c r="AU26" s="53">
        <v>2173</v>
      </c>
      <c r="AV26" s="118"/>
      <c r="AW26" s="53"/>
      <c r="AX26" s="52"/>
      <c r="AY26" s="53">
        <v>2297</v>
      </c>
      <c r="BA26" s="53"/>
      <c r="BB26" s="52"/>
      <c r="BC26" s="53">
        <v>940</v>
      </c>
      <c r="BD26" s="118"/>
      <c r="BF26" s="46">
        <v>418</v>
      </c>
      <c r="BG26" s="150">
        <v>1431</v>
      </c>
      <c r="BH26" s="53"/>
      <c r="BI26" s="145">
        <v>7305</v>
      </c>
      <c r="BK26" s="117">
        <v>1119</v>
      </c>
      <c r="BM26" s="143"/>
      <c r="BN26" s="143"/>
      <c r="BO26" s="133">
        <v>74</v>
      </c>
      <c r="BQ26" s="132"/>
      <c r="BR26" s="132"/>
      <c r="BS26" s="127">
        <v>328</v>
      </c>
      <c r="BU26" s="128"/>
      <c r="BV26" s="143"/>
      <c r="BW26" s="130">
        <v>779</v>
      </c>
      <c r="BX26" s="162"/>
      <c r="BY26" s="247" t="s">
        <v>173</v>
      </c>
      <c r="BZ26" s="131"/>
      <c r="CA26" s="131">
        <v>805</v>
      </c>
      <c r="CB26" s="162"/>
      <c r="CC26" s="167">
        <v>15535</v>
      </c>
      <c r="CD26" s="161"/>
      <c r="CE26" s="169">
        <v>704</v>
      </c>
      <c r="CG26" s="168"/>
      <c r="CH26" s="161"/>
      <c r="CI26" s="169">
        <v>1405</v>
      </c>
      <c r="CK26" s="136"/>
      <c r="CL26" s="161"/>
      <c r="CM26" s="131"/>
      <c r="CO26" s="136"/>
      <c r="CP26" s="161"/>
      <c r="CQ26" s="131"/>
    </row>
    <row r="27" spans="1:95" ht="14.25" x14ac:dyDescent="0.2">
      <c r="A27" s="46">
        <v>4</v>
      </c>
      <c r="B27" s="47">
        <f t="shared" si="3"/>
        <v>40200</v>
      </c>
      <c r="C27" s="40" t="s">
        <v>79</v>
      </c>
      <c r="D27" s="47">
        <f t="shared" si="4"/>
        <v>40206</v>
      </c>
      <c r="F27" s="52">
        <v>10983</v>
      </c>
      <c r="G27" s="53">
        <v>4010</v>
      </c>
      <c r="K27" s="53">
        <v>7501</v>
      </c>
      <c r="M27" s="53"/>
      <c r="N27" s="52">
        <v>10400</v>
      </c>
      <c r="O27" s="53">
        <v>6702</v>
      </c>
      <c r="Q27" s="53"/>
      <c r="R27" s="53">
        <v>2923</v>
      </c>
      <c r="S27" s="53">
        <v>7211</v>
      </c>
      <c r="U27" s="53"/>
      <c r="V27" s="53"/>
      <c r="W27" s="53">
        <v>1671</v>
      </c>
      <c r="Y27" s="53"/>
      <c r="Z27" s="53"/>
      <c r="AA27" s="53">
        <v>3189</v>
      </c>
      <c r="AE27" s="53">
        <v>1466</v>
      </c>
      <c r="AG27" s="46"/>
      <c r="AH27" s="46"/>
      <c r="AI27" s="53">
        <v>3391</v>
      </c>
      <c r="AK27" s="52"/>
      <c r="AL27" s="53"/>
      <c r="AM27" s="53">
        <v>3947</v>
      </c>
      <c r="AN27" s="53"/>
      <c r="AO27" s="53"/>
      <c r="AP27" s="52">
        <v>6631</v>
      </c>
      <c r="AQ27" s="53">
        <v>1377</v>
      </c>
      <c r="AS27" s="53"/>
      <c r="AT27" s="46"/>
      <c r="AU27" s="53">
        <v>2283</v>
      </c>
      <c r="AV27" s="118"/>
      <c r="AW27" s="53"/>
      <c r="AX27" s="53"/>
      <c r="AY27" s="53">
        <v>2748</v>
      </c>
      <c r="BA27" s="53"/>
      <c r="BB27" s="53"/>
      <c r="BC27" s="53">
        <v>1089</v>
      </c>
      <c r="BD27" s="118"/>
      <c r="BF27" s="36">
        <v>420</v>
      </c>
      <c r="BG27" s="150">
        <v>1771</v>
      </c>
      <c r="BH27" s="53"/>
      <c r="BI27" s="36" t="s">
        <v>112</v>
      </c>
      <c r="BK27" s="117">
        <v>1665</v>
      </c>
      <c r="BM27" s="143"/>
      <c r="BN27" s="143"/>
      <c r="BO27" s="133">
        <v>123</v>
      </c>
      <c r="BQ27" s="132"/>
      <c r="BR27" s="132"/>
      <c r="BS27" s="127">
        <v>454</v>
      </c>
      <c r="BU27" s="128"/>
      <c r="BV27" s="143"/>
      <c r="BW27" s="130">
        <v>886</v>
      </c>
      <c r="BX27" s="162"/>
      <c r="BY27" s="131"/>
      <c r="BZ27" s="131"/>
      <c r="CA27" s="131">
        <v>826</v>
      </c>
      <c r="CB27" s="162"/>
      <c r="CC27" s="167">
        <v>15535</v>
      </c>
      <c r="CD27" s="131"/>
      <c r="CE27" s="169">
        <v>831</v>
      </c>
      <c r="CG27" s="168"/>
      <c r="CH27" s="131"/>
      <c r="CI27" s="169">
        <v>1492</v>
      </c>
      <c r="CK27" s="136"/>
      <c r="CL27" s="131"/>
      <c r="CM27" s="131"/>
      <c r="CO27" s="136"/>
      <c r="CP27" s="131"/>
      <c r="CQ27" s="131"/>
    </row>
    <row r="28" spans="1:95" x14ac:dyDescent="0.2">
      <c r="A28" s="46">
        <v>5</v>
      </c>
      <c r="B28" s="47">
        <f t="shared" si="3"/>
        <v>40207</v>
      </c>
      <c r="C28" s="40" t="s">
        <v>79</v>
      </c>
      <c r="D28" s="47">
        <f t="shared" si="4"/>
        <v>40213</v>
      </c>
      <c r="G28" s="53">
        <v>4561</v>
      </c>
      <c r="K28" s="53">
        <v>7753</v>
      </c>
      <c r="M28" s="53"/>
      <c r="N28" s="53"/>
      <c r="O28" s="53">
        <v>7582</v>
      </c>
      <c r="Q28" s="53"/>
      <c r="R28" s="52">
        <v>2927</v>
      </c>
      <c r="S28" s="53">
        <v>8116</v>
      </c>
      <c r="U28" s="53"/>
      <c r="V28" s="53"/>
      <c r="W28" s="53">
        <v>1918</v>
      </c>
      <c r="Y28" s="53"/>
      <c r="Z28" s="53"/>
      <c r="AA28" s="53">
        <v>3452</v>
      </c>
      <c r="AE28" s="53">
        <v>1627</v>
      </c>
      <c r="AG28" s="46"/>
      <c r="AH28" s="46"/>
      <c r="AI28" s="53">
        <v>4076</v>
      </c>
      <c r="AK28" s="52"/>
      <c r="AL28" s="53"/>
      <c r="AM28" s="53">
        <v>4382</v>
      </c>
      <c r="AN28" s="53"/>
      <c r="AO28" s="53"/>
      <c r="AP28" s="53"/>
      <c r="AQ28" s="53">
        <v>1658</v>
      </c>
      <c r="AS28" s="53"/>
      <c r="AT28" s="46"/>
      <c r="AU28" s="53">
        <v>2374</v>
      </c>
      <c r="AV28" s="118"/>
      <c r="AW28" s="53"/>
      <c r="AX28" s="53"/>
      <c r="AY28" s="53">
        <v>2986</v>
      </c>
      <c r="BA28" s="53"/>
      <c r="BB28" s="53"/>
      <c r="BC28" s="53">
        <v>1226</v>
      </c>
      <c r="BD28" s="118"/>
      <c r="BG28" s="150">
        <v>1847</v>
      </c>
      <c r="BH28" s="53"/>
      <c r="BI28" s="46"/>
      <c r="BK28" s="117">
        <v>1810</v>
      </c>
      <c r="BM28" s="143"/>
      <c r="BN28" s="143"/>
      <c r="BO28" s="133">
        <v>194</v>
      </c>
      <c r="BQ28" s="132"/>
      <c r="BR28" s="132"/>
      <c r="BS28" s="127">
        <v>495</v>
      </c>
      <c r="BU28" s="128"/>
      <c r="BV28" s="143"/>
      <c r="BW28" s="130">
        <v>974</v>
      </c>
      <c r="BX28" s="162"/>
      <c r="BY28" s="131"/>
      <c r="BZ28" s="131"/>
      <c r="CA28" s="131">
        <v>866</v>
      </c>
      <c r="CB28" s="162"/>
      <c r="CC28" s="167">
        <v>15535</v>
      </c>
      <c r="CD28" s="131"/>
      <c r="CE28" s="169">
        <v>942</v>
      </c>
      <c r="CG28" s="167"/>
      <c r="CH28" s="131"/>
      <c r="CI28" s="169">
        <v>1630</v>
      </c>
      <c r="CK28" s="131"/>
      <c r="CL28" s="131"/>
      <c r="CM28" s="131"/>
      <c r="CO28" s="131"/>
      <c r="CP28" s="131"/>
      <c r="CQ28" s="131"/>
    </row>
    <row r="29" spans="1:95" x14ac:dyDescent="0.2">
      <c r="A29" s="46">
        <v>6</v>
      </c>
      <c r="B29" s="47">
        <f t="shared" si="3"/>
        <v>40214</v>
      </c>
      <c r="C29" s="40" t="s">
        <v>79</v>
      </c>
      <c r="D29" s="47">
        <f t="shared" si="4"/>
        <v>40220</v>
      </c>
      <c r="G29" s="53">
        <v>4937</v>
      </c>
      <c r="K29" s="53">
        <v>7960</v>
      </c>
      <c r="M29" s="53"/>
      <c r="N29" s="53"/>
      <c r="O29" s="53">
        <v>8875</v>
      </c>
      <c r="Q29" s="53"/>
      <c r="R29" s="53"/>
      <c r="S29" s="53">
        <v>8683</v>
      </c>
      <c r="U29" s="53"/>
      <c r="V29" s="53"/>
      <c r="W29" s="53">
        <v>2083</v>
      </c>
      <c r="Y29" s="53"/>
      <c r="Z29" s="53"/>
      <c r="AA29" s="53">
        <v>3738</v>
      </c>
      <c r="AE29" s="53">
        <v>1749</v>
      </c>
      <c r="AG29" s="46"/>
      <c r="AH29" s="46"/>
      <c r="AI29" s="53">
        <v>4837</v>
      </c>
      <c r="AK29" s="52"/>
      <c r="AL29" s="53"/>
      <c r="AM29" s="53">
        <v>4752</v>
      </c>
      <c r="AN29" s="53"/>
      <c r="AO29" s="53"/>
      <c r="AP29" s="53"/>
      <c r="AQ29" s="53">
        <v>1936</v>
      </c>
      <c r="AS29" s="46"/>
      <c r="AT29" s="46"/>
      <c r="AU29" s="53">
        <v>2467</v>
      </c>
      <c r="AV29" s="118"/>
      <c r="AW29" s="53"/>
      <c r="AX29" s="53"/>
      <c r="AY29" s="53">
        <v>3093</v>
      </c>
      <c r="BA29" s="53"/>
      <c r="BB29" s="53"/>
      <c r="BC29" s="53">
        <v>1387</v>
      </c>
      <c r="BD29" s="118"/>
      <c r="BG29" s="150">
        <v>1938</v>
      </c>
      <c r="BH29" s="53"/>
      <c r="BI29" s="46"/>
      <c r="BK29" s="117">
        <v>1833</v>
      </c>
      <c r="BM29" s="143"/>
      <c r="BN29" s="143"/>
      <c r="BO29" s="133">
        <v>319</v>
      </c>
      <c r="BQ29" s="132"/>
      <c r="BR29" s="132"/>
      <c r="BS29" s="127">
        <v>534</v>
      </c>
      <c r="BU29" s="121"/>
      <c r="BV29" s="46"/>
      <c r="BW29" s="151">
        <v>1066</v>
      </c>
      <c r="BX29" s="162"/>
      <c r="BY29" s="131"/>
      <c r="BZ29" s="131"/>
      <c r="CA29" s="131">
        <v>915</v>
      </c>
      <c r="CB29" s="162"/>
      <c r="CC29" s="168">
        <v>15536</v>
      </c>
      <c r="CD29" s="131"/>
      <c r="CE29" s="169">
        <v>1040</v>
      </c>
      <c r="CG29" s="168"/>
      <c r="CH29" s="131"/>
      <c r="CI29" s="169">
        <v>1750</v>
      </c>
      <c r="CK29" s="136"/>
      <c r="CL29" s="131"/>
      <c r="CM29" s="131"/>
      <c r="CO29" s="136"/>
      <c r="CP29" s="131"/>
      <c r="CQ29" s="131"/>
    </row>
    <row r="30" spans="1:95" x14ac:dyDescent="0.2">
      <c r="A30" s="46">
        <v>7</v>
      </c>
      <c r="B30" s="47">
        <f t="shared" si="3"/>
        <v>40221</v>
      </c>
      <c r="C30" s="40" t="s">
        <v>79</v>
      </c>
      <c r="D30" s="47">
        <f t="shared" si="4"/>
        <v>40227</v>
      </c>
      <c r="G30" s="53">
        <v>5211</v>
      </c>
      <c r="K30" s="53">
        <v>8037</v>
      </c>
      <c r="M30" s="53"/>
      <c r="N30" s="53"/>
      <c r="O30" s="53">
        <v>9879</v>
      </c>
      <c r="Q30" s="53"/>
      <c r="R30" s="53"/>
      <c r="S30" s="53">
        <v>9530</v>
      </c>
      <c r="U30" s="53"/>
      <c r="V30" s="53"/>
      <c r="W30" s="53">
        <v>2184</v>
      </c>
      <c r="Y30" s="53"/>
      <c r="Z30" s="53"/>
      <c r="AA30" s="53">
        <v>3956</v>
      </c>
      <c r="AE30" s="53">
        <v>1840</v>
      </c>
      <c r="AG30" s="46"/>
      <c r="AH30" s="46"/>
      <c r="AI30" s="53">
        <v>5362</v>
      </c>
      <c r="AK30" s="52"/>
      <c r="AL30" s="53"/>
      <c r="AM30" s="53">
        <v>5191</v>
      </c>
      <c r="AN30" s="53"/>
      <c r="AO30" s="53"/>
      <c r="AP30" s="53"/>
      <c r="AQ30" s="53">
        <v>2201</v>
      </c>
      <c r="AS30" s="53"/>
      <c r="AT30" s="46"/>
      <c r="AU30" s="53">
        <v>2513</v>
      </c>
      <c r="AV30" s="118"/>
      <c r="AW30" s="53"/>
      <c r="AX30" s="53"/>
      <c r="AY30" s="53">
        <v>3170</v>
      </c>
      <c r="BA30" s="53"/>
      <c r="BB30" s="53"/>
      <c r="BC30" s="53">
        <v>1508</v>
      </c>
      <c r="BD30" s="118"/>
      <c r="BG30" s="150">
        <v>2011</v>
      </c>
      <c r="BH30" s="53"/>
      <c r="BI30" s="46"/>
      <c r="BK30" s="117">
        <v>1850</v>
      </c>
      <c r="BM30" s="143"/>
      <c r="BN30" s="143"/>
      <c r="BO30" s="133">
        <v>342</v>
      </c>
      <c r="BQ30" s="132"/>
      <c r="BR30" s="132"/>
      <c r="BS30" s="127">
        <v>547</v>
      </c>
      <c r="BU30" s="121"/>
      <c r="BV30" s="46"/>
      <c r="BW30" s="151">
        <v>1192</v>
      </c>
      <c r="BX30" s="162"/>
      <c r="BY30" s="131"/>
      <c r="BZ30" s="131"/>
      <c r="CA30" s="131">
        <v>958</v>
      </c>
      <c r="CB30" s="162"/>
      <c r="CC30" s="167"/>
      <c r="CD30" s="131"/>
      <c r="CE30" s="169">
        <v>1169</v>
      </c>
      <c r="CG30" s="167"/>
      <c r="CH30" s="131"/>
      <c r="CI30" s="169">
        <v>1842</v>
      </c>
      <c r="CK30" s="131"/>
      <c r="CL30" s="131"/>
      <c r="CM30" s="131"/>
      <c r="CO30" s="131"/>
      <c r="CP30" s="131"/>
      <c r="CQ30" s="131"/>
    </row>
    <row r="31" spans="1:95" x14ac:dyDescent="0.2">
      <c r="A31" s="46">
        <v>8</v>
      </c>
      <c r="B31" s="47">
        <f t="shared" si="3"/>
        <v>40228</v>
      </c>
      <c r="C31" s="40" t="s">
        <v>79</v>
      </c>
      <c r="D31" s="47">
        <f t="shared" si="4"/>
        <v>40234</v>
      </c>
      <c r="G31" s="53">
        <v>5468</v>
      </c>
      <c r="K31" s="53">
        <v>8066</v>
      </c>
      <c r="M31" s="53"/>
      <c r="N31" s="53"/>
      <c r="O31" s="53">
        <v>10633</v>
      </c>
      <c r="Q31" s="53"/>
      <c r="R31" s="53"/>
      <c r="S31" s="53">
        <v>10370</v>
      </c>
      <c r="U31" s="53"/>
      <c r="V31" s="53"/>
      <c r="W31" s="53">
        <v>2327</v>
      </c>
      <c r="Y31" s="53"/>
      <c r="Z31" s="53"/>
      <c r="AA31" s="53">
        <v>4088</v>
      </c>
      <c r="AE31" s="53">
        <v>1952</v>
      </c>
      <c r="AG31" s="46"/>
      <c r="AH31" s="46"/>
      <c r="AI31" s="53">
        <v>5524</v>
      </c>
      <c r="AK31" s="52"/>
      <c r="AL31" s="53"/>
      <c r="AM31" s="53">
        <v>5241</v>
      </c>
      <c r="AN31" s="53"/>
      <c r="AO31" s="53"/>
      <c r="AP31" s="53"/>
      <c r="AQ31" s="53">
        <v>2297</v>
      </c>
      <c r="AS31" s="46"/>
      <c r="AT31" s="46"/>
      <c r="AU31" s="53">
        <v>2526</v>
      </c>
      <c r="AV31" s="118"/>
      <c r="AW31" s="53"/>
      <c r="AX31" s="53"/>
      <c r="AY31" s="53">
        <v>3236</v>
      </c>
      <c r="BA31" s="53"/>
      <c r="BB31" s="53"/>
      <c r="BC31" s="53">
        <v>1555</v>
      </c>
      <c r="BD31" s="118"/>
      <c r="BG31" s="150">
        <v>2028</v>
      </c>
      <c r="BH31" s="53"/>
      <c r="BI31" s="46"/>
      <c r="BK31" s="117">
        <v>1852</v>
      </c>
      <c r="BM31" s="143"/>
      <c r="BN31" s="143"/>
      <c r="BO31" s="133">
        <v>364</v>
      </c>
      <c r="BQ31" s="132"/>
      <c r="BR31" s="132"/>
      <c r="BS31" s="127">
        <v>569</v>
      </c>
      <c r="BU31" s="121"/>
      <c r="BV31" s="46"/>
      <c r="BW31" s="151">
        <v>1300</v>
      </c>
      <c r="BX31" s="162"/>
      <c r="BY31" s="131"/>
      <c r="BZ31" s="131"/>
      <c r="CA31" s="131">
        <v>1031</v>
      </c>
      <c r="CB31" s="162"/>
      <c r="CC31" s="167"/>
      <c r="CD31" s="131"/>
      <c r="CE31" s="169">
        <v>1393</v>
      </c>
      <c r="CG31" s="167"/>
      <c r="CH31" s="131"/>
      <c r="CI31" s="169">
        <v>1924</v>
      </c>
      <c r="CK31" s="131"/>
      <c r="CL31" s="131"/>
      <c r="CM31" s="131"/>
      <c r="CO31" s="131"/>
      <c r="CP31" s="131"/>
      <c r="CQ31" s="131"/>
    </row>
    <row r="32" spans="1:95" ht="14.25" x14ac:dyDescent="0.2">
      <c r="A32" s="46">
        <v>9</v>
      </c>
      <c r="B32" s="47">
        <f t="shared" si="3"/>
        <v>40235</v>
      </c>
      <c r="C32" s="40" t="s">
        <v>79</v>
      </c>
      <c r="D32" s="47">
        <f t="shared" si="4"/>
        <v>40241</v>
      </c>
      <c r="G32" s="53">
        <v>5649</v>
      </c>
      <c r="K32" s="53">
        <v>8100</v>
      </c>
      <c r="M32" s="53"/>
      <c r="N32" s="53"/>
      <c r="O32" s="53">
        <v>11003</v>
      </c>
      <c r="Q32" s="53"/>
      <c r="R32" s="53"/>
      <c r="S32" s="53">
        <v>11168</v>
      </c>
      <c r="U32" s="53"/>
      <c r="V32" s="53"/>
      <c r="W32" s="53">
        <v>2459</v>
      </c>
      <c r="Y32" s="53"/>
      <c r="Z32" s="53"/>
      <c r="AA32" s="53">
        <v>4191</v>
      </c>
      <c r="AE32" s="53">
        <v>1987</v>
      </c>
      <c r="AG32" s="46"/>
      <c r="AH32" s="46"/>
      <c r="AI32" s="53">
        <v>5668</v>
      </c>
      <c r="AK32" s="52"/>
      <c r="AL32" s="53"/>
      <c r="AM32" s="53">
        <v>5386</v>
      </c>
      <c r="AN32" s="53"/>
      <c r="AO32" s="53"/>
      <c r="AP32" s="53"/>
      <c r="AQ32" s="53">
        <v>2350</v>
      </c>
      <c r="AS32" s="46"/>
      <c r="AT32" s="46"/>
      <c r="AU32" s="71">
        <v>2539</v>
      </c>
      <c r="AV32" s="148"/>
      <c r="AW32" s="53"/>
      <c r="AX32" s="53"/>
      <c r="AY32" s="71">
        <v>3256</v>
      </c>
      <c r="BA32" s="53"/>
      <c r="BB32" s="53"/>
      <c r="BC32" s="71">
        <v>1574</v>
      </c>
      <c r="BD32" s="148"/>
      <c r="BG32" s="152">
        <v>2037</v>
      </c>
      <c r="BH32" s="71"/>
      <c r="BI32" s="46"/>
      <c r="BK32" s="117">
        <v>1873</v>
      </c>
      <c r="BM32" s="143"/>
      <c r="BN32" s="143"/>
      <c r="BO32" s="133">
        <v>378</v>
      </c>
      <c r="BQ32" s="132"/>
      <c r="BR32" s="132"/>
      <c r="BS32" s="127">
        <v>579</v>
      </c>
      <c r="BU32" s="121"/>
      <c r="BV32" s="46"/>
      <c r="BW32" s="151">
        <v>1346</v>
      </c>
      <c r="BX32" s="162"/>
      <c r="BY32" s="131"/>
      <c r="BZ32" s="131"/>
      <c r="CA32" s="131">
        <v>1075</v>
      </c>
      <c r="CB32" s="162"/>
      <c r="CC32" s="248" t="s">
        <v>174</v>
      </c>
      <c r="CD32" s="131"/>
      <c r="CE32" s="169">
        <v>1485</v>
      </c>
      <c r="CG32" s="177"/>
      <c r="CH32" s="131"/>
      <c r="CI32" s="169">
        <v>1983</v>
      </c>
      <c r="CK32" s="242"/>
      <c r="CL32" s="131"/>
      <c r="CM32" s="131"/>
      <c r="CO32" s="242"/>
      <c r="CP32" s="131"/>
      <c r="CQ32" s="131"/>
    </row>
    <row r="33" spans="1:95" ht="15" thickBot="1" x14ac:dyDescent="0.25">
      <c r="A33" s="46">
        <v>10</v>
      </c>
      <c r="B33" s="47">
        <f t="shared" si="3"/>
        <v>40242</v>
      </c>
      <c r="C33" s="40" t="s">
        <v>79</v>
      </c>
      <c r="D33" s="47">
        <f t="shared" si="4"/>
        <v>40248</v>
      </c>
      <c r="G33" s="53">
        <v>5712</v>
      </c>
      <c r="K33" s="53">
        <v>8129</v>
      </c>
      <c r="M33" s="53"/>
      <c r="N33" s="53"/>
      <c r="O33" s="53">
        <v>11310</v>
      </c>
      <c r="Q33" s="53"/>
      <c r="R33" s="53"/>
      <c r="S33" s="53">
        <v>11342</v>
      </c>
      <c r="U33" s="53"/>
      <c r="V33" s="53"/>
      <c r="W33" s="52">
        <v>2495</v>
      </c>
      <c r="Y33" s="53"/>
      <c r="Z33" s="53"/>
      <c r="AA33" s="52">
        <v>4244</v>
      </c>
      <c r="AE33" s="52">
        <v>2037</v>
      </c>
      <c r="AG33" s="46"/>
      <c r="AH33" s="46"/>
      <c r="AI33" s="53">
        <v>5792</v>
      </c>
      <c r="AK33" s="52"/>
      <c r="AL33" s="53"/>
      <c r="AM33" s="53">
        <v>5559</v>
      </c>
      <c r="AN33" s="53"/>
      <c r="AO33" s="53"/>
      <c r="AP33" s="53"/>
      <c r="AQ33" s="53">
        <v>2391</v>
      </c>
      <c r="AS33" s="46"/>
      <c r="AT33" s="46"/>
      <c r="AU33" s="51">
        <v>2550</v>
      </c>
      <c r="AV33" s="153"/>
      <c r="AW33" s="52"/>
      <c r="AX33" s="53"/>
      <c r="AY33" s="51">
        <v>3272</v>
      </c>
      <c r="BA33" s="52"/>
      <c r="BB33" s="53"/>
      <c r="BC33" s="147">
        <v>1574</v>
      </c>
      <c r="BD33" s="153"/>
      <c r="BE33" s="97"/>
      <c r="BF33" s="74"/>
      <c r="BG33" s="154">
        <v>2049</v>
      </c>
      <c r="BH33" s="52"/>
      <c r="BI33" s="97"/>
      <c r="BJ33" s="74"/>
      <c r="BK33" s="155">
        <v>1897</v>
      </c>
      <c r="BM33" s="147"/>
      <c r="BN33" s="74"/>
      <c r="BO33" s="156">
        <v>386</v>
      </c>
      <c r="BQ33" s="157"/>
      <c r="BR33" s="157"/>
      <c r="BS33" s="158">
        <v>585</v>
      </c>
      <c r="BU33" s="172"/>
      <c r="BV33" s="173"/>
      <c r="BW33" s="159">
        <v>1433</v>
      </c>
      <c r="BX33" s="162"/>
      <c r="BY33" s="160"/>
      <c r="BZ33" s="160"/>
      <c r="CA33" s="160">
        <v>1080</v>
      </c>
      <c r="CB33" s="166"/>
      <c r="CC33" s="248" t="s">
        <v>175</v>
      </c>
      <c r="CD33" s="136"/>
      <c r="CE33" s="169">
        <v>1551</v>
      </c>
      <c r="CG33" s="177"/>
      <c r="CH33" s="136"/>
      <c r="CI33" s="226">
        <v>2041</v>
      </c>
      <c r="CK33" s="242"/>
      <c r="CL33" s="136"/>
      <c r="CM33" s="136"/>
      <c r="CO33" s="242"/>
      <c r="CP33" s="136"/>
      <c r="CQ33" s="131"/>
    </row>
    <row r="34" spans="1:95" x14ac:dyDescent="0.2">
      <c r="A34" s="46">
        <v>11</v>
      </c>
      <c r="B34" s="47">
        <f t="shared" si="3"/>
        <v>40249</v>
      </c>
      <c r="C34" s="40" t="s">
        <v>79</v>
      </c>
      <c r="D34" s="47">
        <f t="shared" si="4"/>
        <v>40255</v>
      </c>
      <c r="G34" s="52">
        <v>5731</v>
      </c>
      <c r="K34" s="52">
        <v>8143</v>
      </c>
      <c r="M34" s="53"/>
      <c r="N34" s="53"/>
      <c r="O34" s="52">
        <v>11547</v>
      </c>
      <c r="Q34" s="53"/>
      <c r="R34" s="53"/>
      <c r="S34" s="52">
        <v>11399</v>
      </c>
      <c r="U34" s="53"/>
      <c r="V34" s="53"/>
      <c r="Y34" s="53"/>
      <c r="Z34" s="53"/>
      <c r="AA34" s="53"/>
      <c r="AG34" s="46"/>
      <c r="AH34" s="46"/>
      <c r="AI34" s="52">
        <v>5885</v>
      </c>
      <c r="AK34" s="52"/>
      <c r="AL34" s="53"/>
      <c r="AM34" s="52">
        <v>5737</v>
      </c>
      <c r="AN34" s="53"/>
      <c r="AO34" s="53"/>
      <c r="AP34" s="53"/>
      <c r="AQ34" s="52">
        <v>2392</v>
      </c>
      <c r="AV34" s="120"/>
      <c r="BD34" s="120"/>
      <c r="CC34" s="172"/>
      <c r="CD34" s="173"/>
      <c r="CE34" s="170">
        <v>1577</v>
      </c>
      <c r="CG34" s="175"/>
      <c r="CH34" s="174"/>
      <c r="CI34" s="170"/>
      <c r="CM34" s="136"/>
      <c r="CQ34" s="136"/>
    </row>
    <row r="35" spans="1:95" x14ac:dyDescent="0.2">
      <c r="A35" s="46">
        <v>12</v>
      </c>
      <c r="B35" s="47">
        <f t="shared" si="3"/>
        <v>40256</v>
      </c>
      <c r="C35" s="40" t="s">
        <v>79</v>
      </c>
      <c r="D35" s="47">
        <f t="shared" si="4"/>
        <v>40262</v>
      </c>
      <c r="M35" s="46"/>
      <c r="N35" s="46"/>
      <c r="O35" s="46"/>
      <c r="U35" s="53"/>
      <c r="V35" s="53"/>
      <c r="AG35" s="46"/>
      <c r="AH35" s="46"/>
      <c r="AS35" s="60" t="s">
        <v>113</v>
      </c>
      <c r="AV35" s="120"/>
      <c r="AW35" s="60" t="s">
        <v>113</v>
      </c>
      <c r="BA35" s="60" t="s">
        <v>113</v>
      </c>
      <c r="BD35" s="120"/>
      <c r="BE35" s="60" t="s">
        <v>114</v>
      </c>
      <c r="BI35" s="60" t="s">
        <v>114</v>
      </c>
      <c r="BM35" s="60" t="s">
        <v>114</v>
      </c>
      <c r="BQ35" s="60" t="s">
        <v>114</v>
      </c>
      <c r="BU35" t="s">
        <v>114</v>
      </c>
      <c r="BY35" t="s">
        <v>114</v>
      </c>
      <c r="CC35" s="164"/>
      <c r="CD35" s="164"/>
      <c r="CE35" s="176"/>
      <c r="CG35" s="164"/>
      <c r="CH35" s="164"/>
      <c r="CI35" s="176"/>
    </row>
    <row r="36" spans="1:95" ht="13.15" customHeight="1" x14ac:dyDescent="0.2">
      <c r="U36" s="53"/>
      <c r="V36" s="53"/>
      <c r="AK36" s="275" t="s">
        <v>115</v>
      </c>
      <c r="AL36" s="275"/>
      <c r="AS36" s="60" t="s">
        <v>116</v>
      </c>
      <c r="AV36" s="120"/>
      <c r="AW36" s="60" t="s">
        <v>116</v>
      </c>
      <c r="BA36" s="60" t="s">
        <v>116</v>
      </c>
      <c r="BD36" s="120"/>
      <c r="BE36" s="60" t="s">
        <v>117</v>
      </c>
      <c r="BI36" s="60" t="s">
        <v>117</v>
      </c>
      <c r="BM36" s="60" t="s">
        <v>117</v>
      </c>
      <c r="BQ36" s="60" t="s">
        <v>117</v>
      </c>
      <c r="BU36" t="s">
        <v>117</v>
      </c>
      <c r="BY36" t="s">
        <v>117</v>
      </c>
    </row>
    <row r="37" spans="1:95" x14ac:dyDescent="0.2">
      <c r="AK37" s="275"/>
      <c r="AL37" s="275"/>
      <c r="AV37" s="120"/>
      <c r="BD37" s="120"/>
      <c r="BQ37" s="60" t="s">
        <v>118</v>
      </c>
      <c r="CC37" t="s">
        <v>114</v>
      </c>
      <c r="CG37" t="s">
        <v>114</v>
      </c>
    </row>
    <row r="38" spans="1:95" x14ac:dyDescent="0.2">
      <c r="A38" s="33" t="s">
        <v>91</v>
      </c>
      <c r="AK38" s="275"/>
      <c r="AL38" s="275"/>
      <c r="AV38" s="120"/>
      <c r="BD38" s="120"/>
      <c r="CC38" t="s">
        <v>117</v>
      </c>
      <c r="CG38" t="s">
        <v>117</v>
      </c>
    </row>
  </sheetData>
  <mergeCells count="20">
    <mergeCell ref="CK3:CM3"/>
    <mergeCell ref="CK13:CM13"/>
    <mergeCell ref="CO3:CQ3"/>
    <mergeCell ref="CO13:CQ13"/>
    <mergeCell ref="E2:O2"/>
    <mergeCell ref="Q2:AA2"/>
    <mergeCell ref="AC2:AM2"/>
    <mergeCell ref="AO2:AY2"/>
    <mergeCell ref="BY3:CA3"/>
    <mergeCell ref="CG3:CI3"/>
    <mergeCell ref="CG13:CI13"/>
    <mergeCell ref="BY13:CA13"/>
    <mergeCell ref="AK36:AL38"/>
    <mergeCell ref="CC3:CE3"/>
    <mergeCell ref="CD13:CE13"/>
    <mergeCell ref="BE12:BG13"/>
    <mergeCell ref="BI12:BK13"/>
    <mergeCell ref="BM13:BO13"/>
    <mergeCell ref="BQ13:BS13"/>
    <mergeCell ref="BU13:BW13"/>
  </mergeCells>
  <printOptions horizontalCentered="1"/>
  <pageMargins left="0.25" right="0.25" top="0.75" bottom="0.75" header="0.3" footer="0.3"/>
  <pageSetup orientation="landscape" r:id="rId1"/>
  <headerFooter alignWithMargins="0"/>
  <colBreaks count="4" manualBreakCount="4">
    <brk id="16" max="1048575" man="1"/>
    <brk id="28" max="1048575" man="1"/>
    <brk id="40" max="1048575" man="1"/>
    <brk id="51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INFO page</vt:lpstr>
      <vt:lpstr>JC Weir-2025</vt:lpstr>
      <vt:lpstr>WC Weir-2025</vt:lpstr>
      <vt:lpstr>TRH-2025</vt:lpstr>
      <vt:lpstr>Historical -JCW</vt:lpstr>
      <vt:lpstr>Historical -WCW</vt:lpstr>
      <vt:lpstr>Historical-TRH</vt:lpstr>
      <vt:lpstr>'Historical -JCW'!Print_Area</vt:lpstr>
      <vt:lpstr>'Historical -WCW'!Print_Area</vt:lpstr>
      <vt:lpstr>'Historical-TRH'!Print_Area</vt:lpstr>
      <vt:lpstr>'INFO page'!Print_Area</vt:lpstr>
      <vt:lpstr>'TRH-2025'!Print_Area</vt:lpstr>
      <vt:lpstr>'WC Weir-2025'!Print_Area</vt:lpstr>
      <vt:lpstr>'Historical -JCW'!Print_Titles</vt:lpstr>
      <vt:lpstr>'Historical -WCW'!Print_Titles</vt:lpstr>
      <vt:lpstr>'Historical-TRH'!Print_Titles</vt:lpstr>
    </vt:vector>
  </TitlesOfParts>
  <Manager/>
  <Company>California Department of Fish &amp; Game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 Kier</dc:creator>
  <cp:keywords/>
  <dc:description/>
  <cp:lastModifiedBy>Van Vleet, Nicholas@Wildlife</cp:lastModifiedBy>
  <cp:revision/>
  <dcterms:created xsi:type="dcterms:W3CDTF">2004-07-26T22:42:45Z</dcterms:created>
  <dcterms:modified xsi:type="dcterms:W3CDTF">2026-03-11T23:12:00Z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685f86-ed8d-482b-be3a-2b7af73f9b7f_Enabled">
    <vt:lpwstr>True</vt:lpwstr>
  </property>
  <property fmtid="{D5CDD505-2E9C-101B-9397-08002B2CF9AE}" pid="3" name="MSIP_Label_6e685f86-ed8d-482b-be3a-2b7af73f9b7f_SiteId">
    <vt:lpwstr>4b633c25-efbf-4006-9f15-07442ba7aa0b</vt:lpwstr>
  </property>
  <property fmtid="{D5CDD505-2E9C-101B-9397-08002B2CF9AE}" pid="4" name="MSIP_Label_6e685f86-ed8d-482b-be3a-2b7af73f9b7f_Owner">
    <vt:lpwstr>MaryClaire.Kier@wildlife.ca.gov</vt:lpwstr>
  </property>
  <property fmtid="{D5CDD505-2E9C-101B-9397-08002B2CF9AE}" pid="5" name="MSIP_Label_6e685f86-ed8d-482b-be3a-2b7af73f9b7f_SetDate">
    <vt:lpwstr>2018-12-17T17:02:59.3076609Z</vt:lpwstr>
  </property>
  <property fmtid="{D5CDD505-2E9C-101B-9397-08002B2CF9AE}" pid="6" name="MSIP_Label_6e685f86-ed8d-482b-be3a-2b7af73f9b7f_Name">
    <vt:lpwstr>General</vt:lpwstr>
  </property>
  <property fmtid="{D5CDD505-2E9C-101B-9397-08002B2CF9AE}" pid="7" name="MSIP_Label_6e685f86-ed8d-482b-be3a-2b7af73f9b7f_Application">
    <vt:lpwstr>Microsoft Azure Information Protection</vt:lpwstr>
  </property>
  <property fmtid="{D5CDD505-2E9C-101B-9397-08002B2CF9AE}" pid="8" name="MSIP_Label_6e685f86-ed8d-482b-be3a-2b7af73f9b7f_Extended_MSFT_Method">
    <vt:lpwstr>Automatic</vt:lpwstr>
  </property>
  <property fmtid="{D5CDD505-2E9C-101B-9397-08002B2CF9AE}" pid="9" name="Sensitivity">
    <vt:lpwstr>General</vt:lpwstr>
  </property>
</Properties>
</file>