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13_ncr:1_{8F87226B-72DF-4EDD-862D-965B8B19410C}" xr6:coauthVersionLast="47" xr6:coauthVersionMax="47" xr10:uidLastSave="{00000000-0000-0000-0000-000000000000}"/>
  <bookViews>
    <workbookView xWindow="-25320" yWindow="-4335" windowWidth="25440" windowHeight="15390" firstSheet="1" activeTab="3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-JCW'!$A$1:$BE$24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'TRH-2022'!$A$1:$W$48</definedName>
    <definedName name="_xlnm.Print_Area" localSheetId="2">'WC Weir-2022'!$A$1:$AG$29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6" i="8" l="1"/>
  <c r="AM7" i="8"/>
  <c r="AM8" i="8"/>
  <c r="AM9" i="8"/>
  <c r="AM10" i="8"/>
  <c r="AM11" i="8"/>
  <c r="AM20" i="8"/>
  <c r="AM21" i="8"/>
  <c r="AM22" i="8"/>
  <c r="AM23" i="8"/>
  <c r="AM24" i="8"/>
  <c r="AM5" i="8"/>
  <c r="AL6" i="8"/>
  <c r="AL7" i="8"/>
  <c r="AL8" i="8"/>
  <c r="AL9" i="8"/>
  <c r="AL10" i="8"/>
  <c r="AL11" i="8"/>
  <c r="AL20" i="8"/>
  <c r="AL21" i="8"/>
  <c r="AL22" i="8"/>
  <c r="AL23" i="8"/>
  <c r="AL24" i="8"/>
  <c r="AL5" i="8"/>
  <c r="AK6" i="8"/>
  <c r="AK7" i="8"/>
  <c r="AK8" i="8"/>
  <c r="AK9" i="8"/>
  <c r="AK10" i="8"/>
  <c r="AK11" i="8"/>
  <c r="AK20" i="8"/>
  <c r="AK21" i="8"/>
  <c r="AK22" i="8"/>
  <c r="AK23" i="8"/>
  <c r="AK24" i="8"/>
  <c r="AK5" i="8"/>
  <c r="AH38" i="8"/>
  <c r="B5" i="5" l="1"/>
  <c r="S36" i="4"/>
  <c r="R36" i="4"/>
  <c r="X6" i="4" l="1"/>
  <c r="X7" i="4"/>
  <c r="X8" i="4"/>
  <c r="X9" i="4"/>
  <c r="X10" i="4"/>
  <c r="Z6" i="4"/>
  <c r="AA6" i="4"/>
  <c r="AB6" i="4"/>
  <c r="Z7" i="4"/>
  <c r="AA7" i="4"/>
  <c r="AB7" i="4"/>
  <c r="Z8" i="4"/>
  <c r="AA8" i="4"/>
  <c r="AB8" i="4"/>
  <c r="Z9" i="4"/>
  <c r="AA9" i="4"/>
  <c r="AB9" i="4"/>
  <c r="Z10" i="4"/>
  <c r="AA10" i="4"/>
  <c r="AB10" i="4"/>
  <c r="AB11" i="4"/>
  <c r="Z13" i="4"/>
  <c r="AA13" i="4"/>
  <c r="AB13" i="4"/>
  <c r="Z14" i="4"/>
  <c r="AA14" i="4"/>
  <c r="AB14" i="4"/>
  <c r="Z15" i="4"/>
  <c r="AA15" i="4"/>
  <c r="AB15" i="4"/>
  <c r="Z16" i="4"/>
  <c r="AA16" i="4"/>
  <c r="AB16" i="4"/>
  <c r="Z17" i="4"/>
  <c r="AA17" i="4"/>
  <c r="AB17" i="4"/>
  <c r="Z18" i="4"/>
  <c r="AA18" i="4"/>
  <c r="AB18" i="4"/>
  <c r="Z19" i="4"/>
  <c r="AA19" i="4"/>
  <c r="AB19" i="4"/>
  <c r="Z20" i="4"/>
  <c r="AA20" i="4"/>
  <c r="AB20" i="4"/>
  <c r="Z21" i="4"/>
  <c r="AA21" i="4"/>
  <c r="AB21" i="4"/>
  <c r="Z22" i="4"/>
  <c r="AA22" i="4"/>
  <c r="AB22" i="4"/>
  <c r="Z23" i="4"/>
  <c r="AA23" i="4"/>
  <c r="AB23" i="4"/>
  <c r="Z24" i="4"/>
  <c r="AA24" i="4"/>
  <c r="AB24" i="4"/>
  <c r="Z25" i="4"/>
  <c r="AA25" i="4"/>
  <c r="AB25" i="4"/>
  <c r="Z26" i="4"/>
  <c r="AA26" i="4"/>
  <c r="AB26" i="4"/>
  <c r="Z27" i="4"/>
  <c r="AA27" i="4"/>
  <c r="AB27" i="4"/>
  <c r="Z28" i="4"/>
  <c r="AA28" i="4"/>
  <c r="AB28" i="4"/>
  <c r="Z29" i="4"/>
  <c r="AA29" i="4"/>
  <c r="AB29" i="4"/>
  <c r="Z30" i="4"/>
  <c r="AA30" i="4"/>
  <c r="AB30" i="4"/>
  <c r="Z31" i="4"/>
  <c r="AA31" i="4"/>
  <c r="AB31" i="4"/>
  <c r="Z32" i="4"/>
  <c r="AA32" i="4"/>
  <c r="AB32" i="4"/>
  <c r="AB5" i="4"/>
  <c r="S9" i="4"/>
  <c r="S10" i="4"/>
  <c r="K10" i="4"/>
  <c r="L10" i="4"/>
  <c r="AD17" i="3"/>
  <c r="AH17" i="3" s="1"/>
  <c r="AD18" i="3"/>
  <c r="AD19" i="3"/>
  <c r="AD21" i="3"/>
  <c r="AD22" i="3"/>
  <c r="AD8" i="3"/>
  <c r="AH8" i="3" s="1"/>
  <c r="AD12" i="3"/>
  <c r="AH12" i="3" s="1"/>
  <c r="AE9" i="3"/>
  <c r="AE11" i="3"/>
  <c r="AF12" i="3"/>
  <c r="AE13" i="3"/>
  <c r="AF14" i="3"/>
  <c r="AA8" i="3"/>
  <c r="AB8" i="3"/>
  <c r="AG8" i="3" s="1"/>
  <c r="AA9" i="3"/>
  <c r="AD9" i="3" s="1"/>
  <c r="AH9" i="3" s="1"/>
  <c r="AB9" i="3"/>
  <c r="AG9" i="3" s="1"/>
  <c r="AA10" i="3"/>
  <c r="AD10" i="3" s="1"/>
  <c r="AH10" i="3" s="1"/>
  <c r="AB10" i="3"/>
  <c r="AG10" i="3" s="1"/>
  <c r="AA11" i="3"/>
  <c r="AB11" i="3"/>
  <c r="AG11" i="3" s="1"/>
  <c r="AA12" i="3"/>
  <c r="AB12" i="3"/>
  <c r="AG12" i="3" s="1"/>
  <c r="AA13" i="3"/>
  <c r="AD13" i="3" s="1"/>
  <c r="AH13" i="3" s="1"/>
  <c r="AB13" i="3"/>
  <c r="AA14" i="3"/>
  <c r="AD14" i="3" s="1"/>
  <c r="AH14" i="3" s="1"/>
  <c r="AB14" i="3"/>
  <c r="AG14" i="3" s="1"/>
  <c r="T8" i="3"/>
  <c r="U8" i="3"/>
  <c r="AF8" i="3" s="1"/>
  <c r="T9" i="3"/>
  <c r="U9" i="3"/>
  <c r="AF9" i="3" s="1"/>
  <c r="T10" i="3"/>
  <c r="U10" i="3"/>
  <c r="AF10" i="3" s="1"/>
  <c r="T11" i="3"/>
  <c r="AD11" i="3" s="1"/>
  <c r="AH11" i="3" s="1"/>
  <c r="U11" i="3"/>
  <c r="AF11" i="3" s="1"/>
  <c r="T12" i="3"/>
  <c r="U12" i="3"/>
  <c r="T13" i="3"/>
  <c r="U13" i="3"/>
  <c r="AF13" i="3" s="1"/>
  <c r="T14" i="3"/>
  <c r="U14" i="3"/>
  <c r="M8" i="3"/>
  <c r="N8" i="3"/>
  <c r="AE8" i="3" s="1"/>
  <c r="M9" i="3"/>
  <c r="N9" i="3"/>
  <c r="M10" i="3"/>
  <c r="N10" i="3"/>
  <c r="AE10" i="3" s="1"/>
  <c r="M11" i="3"/>
  <c r="N11" i="3"/>
  <c r="M12" i="3"/>
  <c r="N12" i="3"/>
  <c r="AE12" i="3" s="1"/>
  <c r="M13" i="3"/>
  <c r="N13" i="3"/>
  <c r="M14" i="3"/>
  <c r="N14" i="3"/>
  <c r="AE14" i="3" s="1"/>
  <c r="I24" i="3"/>
  <c r="J24" i="3"/>
  <c r="K24" i="3"/>
  <c r="L24" i="3"/>
  <c r="P24" i="3"/>
  <c r="Q24" i="3"/>
  <c r="R24" i="3"/>
  <c r="S24" i="3"/>
  <c r="T24" i="3"/>
  <c r="U24" i="3"/>
  <c r="W24" i="3"/>
  <c r="X24" i="3"/>
  <c r="Y24" i="3"/>
  <c r="Z24" i="3"/>
  <c r="AA24" i="3"/>
  <c r="AB24" i="3"/>
  <c r="G24" i="3"/>
  <c r="I16" i="3"/>
  <c r="J16" i="3"/>
  <c r="K16" i="3"/>
  <c r="L16" i="3"/>
  <c r="P16" i="3"/>
  <c r="Q16" i="3"/>
  <c r="R16" i="3"/>
  <c r="S16" i="3"/>
  <c r="W16" i="3"/>
  <c r="X16" i="3"/>
  <c r="Y16" i="3"/>
  <c r="Z16" i="3"/>
  <c r="I45" i="8"/>
  <c r="J45" i="8"/>
  <c r="K45" i="8"/>
  <c r="L45" i="8"/>
  <c r="P45" i="8"/>
  <c r="Q45" i="8"/>
  <c r="R45" i="8"/>
  <c r="S45" i="8"/>
  <c r="T45" i="8"/>
  <c r="U45" i="8"/>
  <c r="W45" i="8"/>
  <c r="X45" i="8"/>
  <c r="Y45" i="8"/>
  <c r="Z45" i="8"/>
  <c r="AD45" i="8"/>
  <c r="AE45" i="8"/>
  <c r="AF45" i="8"/>
  <c r="G45" i="8"/>
  <c r="R22" i="4"/>
  <c r="S22" i="4"/>
  <c r="R23" i="4"/>
  <c r="S23" i="4"/>
  <c r="R24" i="4"/>
  <c r="S24" i="4"/>
  <c r="R25" i="4"/>
  <c r="S25" i="4"/>
  <c r="R26" i="4"/>
  <c r="S26" i="4"/>
  <c r="R27" i="4"/>
  <c r="S27" i="4"/>
  <c r="X22" i="4"/>
  <c r="K21" i="4"/>
  <c r="L21" i="4"/>
  <c r="K22" i="4"/>
  <c r="L22" i="4"/>
  <c r="K23" i="4"/>
  <c r="L23" i="4"/>
  <c r="K24" i="4"/>
  <c r="L24" i="4"/>
  <c r="K25" i="4"/>
  <c r="L25" i="4"/>
  <c r="M33" i="8"/>
  <c r="N33" i="8"/>
  <c r="T33" i="8"/>
  <c r="U33" i="8"/>
  <c r="AA33" i="8"/>
  <c r="AB33" i="8"/>
  <c r="AF33" i="8"/>
  <c r="AH33" i="8" s="1"/>
  <c r="AH39" i="8"/>
  <c r="AH40" i="8"/>
  <c r="AH42" i="8"/>
  <c r="AH43" i="8"/>
  <c r="AH44" i="8"/>
  <c r="Z37" i="4"/>
  <c r="AA37" i="4"/>
  <c r="AB37" i="4"/>
  <c r="AB38" i="4"/>
  <c r="AB39" i="4"/>
  <c r="Z40" i="4"/>
  <c r="AA40" i="4"/>
  <c r="AB40" i="4"/>
  <c r="AB41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G13" i="3" l="1"/>
  <c r="AH23" i="8"/>
  <c r="X25" i="4"/>
  <c r="X24" i="4"/>
  <c r="X23" i="4"/>
  <c r="AB34" i="4"/>
  <c r="AH34" i="8"/>
  <c r="AH32" i="8"/>
  <c r="AH31" i="8"/>
  <c r="AH30" i="8"/>
  <c r="AH29" i="8"/>
  <c r="AH28" i="8"/>
  <c r="AH27" i="8"/>
  <c r="AH26" i="8"/>
  <c r="AH25" i="8"/>
  <c r="AH24" i="8"/>
  <c r="G16" i="3"/>
  <c r="AF12" i="8"/>
  <c r="AF7" i="8"/>
  <c r="BQ33" i="7"/>
  <c r="AH18" i="3"/>
  <c r="AH19" i="3"/>
  <c r="AH21" i="3"/>
  <c r="AH22" i="3"/>
  <c r="AF11" i="8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X27" i="4" l="1"/>
  <c r="X26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M19" i="8" s="1"/>
  <c r="AB19" i="8"/>
  <c r="AA20" i="8"/>
  <c r="AB20" i="8"/>
  <c r="AA21" i="8"/>
  <c r="AB21" i="8"/>
  <c r="AA22" i="8"/>
  <c r="AB22" i="8"/>
  <c r="T18" i="8"/>
  <c r="AL18" i="8" s="1"/>
  <c r="U18" i="8"/>
  <c r="T19" i="8"/>
  <c r="U19" i="8"/>
  <c r="T20" i="8"/>
  <c r="U20" i="8"/>
  <c r="T21" i="8"/>
  <c r="U21" i="8"/>
  <c r="T22" i="8"/>
  <c r="U22" i="8"/>
  <c r="M18" i="8"/>
  <c r="N18" i="8"/>
  <c r="M19" i="8"/>
  <c r="AK19" i="8" s="1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K17" i="8" s="1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AL12" i="8" s="1"/>
  <c r="M12" i="8"/>
  <c r="AF13" i="8"/>
  <c r="AA13" i="8"/>
  <c r="T13" i="8"/>
  <c r="M13" i="8"/>
  <c r="AF14" i="8"/>
  <c r="AA14" i="8"/>
  <c r="T14" i="8"/>
  <c r="M14" i="8"/>
  <c r="AK14" i="8" s="1"/>
  <c r="AF15" i="8"/>
  <c r="AA15" i="8"/>
  <c r="T15" i="8"/>
  <c r="M15" i="8"/>
  <c r="AK15" i="8" s="1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3" i="3"/>
  <c r="AH23" i="3" s="1"/>
  <c r="AB13" i="8"/>
  <c r="AB14" i="8"/>
  <c r="AB15" i="8"/>
  <c r="AB16" i="8"/>
  <c r="AB17" i="8"/>
  <c r="N20" i="3"/>
  <c r="N24" i="3" s="1"/>
  <c r="M20" i="3"/>
  <c r="S39" i="4"/>
  <c r="R39" i="4"/>
  <c r="L39" i="4"/>
  <c r="K39" i="4"/>
  <c r="BA1" i="6"/>
  <c r="AO1" i="6"/>
  <c r="AC1" i="6"/>
  <c r="Q1" i="6"/>
  <c r="AB41" i="8"/>
  <c r="AB45" i="8" s="1"/>
  <c r="AA41" i="8"/>
  <c r="AA45" i="8" s="1"/>
  <c r="N41" i="8"/>
  <c r="N45" i="8" s="1"/>
  <c r="M41" i="8"/>
  <c r="M45" i="8" s="1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1" i="4"/>
  <c r="I41" i="4"/>
  <c r="H41" i="4"/>
  <c r="G41" i="4"/>
  <c r="C6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2" i="4"/>
  <c r="U42" i="4"/>
  <c r="R42" i="4"/>
  <c r="K42" i="4"/>
  <c r="S42" i="4"/>
  <c r="AA42" i="4" s="1"/>
  <c r="L42" i="4"/>
  <c r="Z42" i="4" s="1"/>
  <c r="AB16" i="3"/>
  <c r="N16" i="3"/>
  <c r="AW33" i="7"/>
  <c r="L14" i="4"/>
  <c r="L15" i="4"/>
  <c r="L16" i="4"/>
  <c r="L17" i="4"/>
  <c r="L18" i="4"/>
  <c r="L19" i="4"/>
  <c r="L20" i="4"/>
  <c r="L26" i="4"/>
  <c r="L27" i="4"/>
  <c r="L28" i="4"/>
  <c r="L29" i="4"/>
  <c r="L30" i="4"/>
  <c r="L31" i="4"/>
  <c r="L32" i="4"/>
  <c r="L13" i="4"/>
  <c r="R31" i="4"/>
  <c r="X31" i="4" s="1"/>
  <c r="R32" i="4"/>
  <c r="X32" i="4" s="1"/>
  <c r="S14" i="4"/>
  <c r="S15" i="4"/>
  <c r="S16" i="4"/>
  <c r="S17" i="4"/>
  <c r="S18" i="4"/>
  <c r="S19" i="4"/>
  <c r="S20" i="4"/>
  <c r="S21" i="4"/>
  <c r="N34" i="4"/>
  <c r="H11" i="4"/>
  <c r="I11" i="4"/>
  <c r="J11" i="4"/>
  <c r="G11" i="4"/>
  <c r="AA5" i="3"/>
  <c r="AB5" i="3"/>
  <c r="AA6" i="3"/>
  <c r="AB6" i="3"/>
  <c r="AA7" i="3"/>
  <c r="AB7" i="3"/>
  <c r="T5" i="3"/>
  <c r="U5" i="3"/>
  <c r="T6" i="3"/>
  <c r="U6" i="3"/>
  <c r="T7" i="3"/>
  <c r="U7" i="3"/>
  <c r="M5" i="3"/>
  <c r="N5" i="3"/>
  <c r="M6" i="3"/>
  <c r="N6" i="3"/>
  <c r="M7" i="3"/>
  <c r="N7" i="3"/>
  <c r="R30" i="4"/>
  <c r="X30" i="4" s="1"/>
  <c r="S29" i="4"/>
  <c r="R29" i="4"/>
  <c r="X29" i="4" s="1"/>
  <c r="S28" i="4"/>
  <c r="R28" i="4"/>
  <c r="X28" i="4" s="1"/>
  <c r="L9" i="4"/>
  <c r="K9" i="4"/>
  <c r="L8" i="4"/>
  <c r="K8" i="4"/>
  <c r="L7" i="4"/>
  <c r="K7" i="4"/>
  <c r="S8" i="4"/>
  <c r="S7" i="4"/>
  <c r="S6" i="4"/>
  <c r="S5" i="4"/>
  <c r="R21" i="4"/>
  <c r="X21" i="4" s="1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S13" i="4"/>
  <c r="R13" i="4"/>
  <c r="X13" i="4" s="1"/>
  <c r="L6" i="4"/>
  <c r="K6" i="4"/>
  <c r="L5" i="4"/>
  <c r="AA5" i="4" s="1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L14" i="5"/>
  <c r="AL15" i="5"/>
  <c r="AL16" i="5"/>
  <c r="AM14" i="5"/>
  <c r="AM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D5" i="3" l="1"/>
  <c r="AE16" i="3"/>
  <c r="AH20" i="3"/>
  <c r="AH25" i="3" s="1"/>
  <c r="M24" i="3"/>
  <c r="AD20" i="3"/>
  <c r="AD6" i="3"/>
  <c r="AD7" i="3"/>
  <c r="AH7" i="3" s="1"/>
  <c r="AG16" i="3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2" i="4"/>
  <c r="Z39" i="4"/>
  <c r="AA41" i="4"/>
  <c r="K41" i="4"/>
  <c r="Z38" i="4"/>
  <c r="L41" i="4"/>
  <c r="AA39" i="4"/>
  <c r="AA16" i="3"/>
  <c r="AD16" i="3" s="1"/>
  <c r="AH16" i="3" s="1"/>
  <c r="U16" i="3"/>
  <c r="AF16" i="3" s="1"/>
  <c r="M16" i="3"/>
  <c r="T16" i="3"/>
  <c r="X34" i="4"/>
  <c r="U36" i="8"/>
  <c r="AA36" i="8"/>
  <c r="N36" i="8"/>
  <c r="AH41" i="8"/>
  <c r="AF36" i="8"/>
  <c r="M36" i="8"/>
  <c r="S34" i="4"/>
  <c r="R34" i="4"/>
  <c r="E6" i="8"/>
  <c r="AG7" i="3"/>
  <c r="AF7" i="3"/>
  <c r="AE7" i="3"/>
  <c r="AG6" i="3"/>
  <c r="AF6" i="3"/>
  <c r="AE6" i="3"/>
  <c r="AG5" i="3"/>
  <c r="AF5" i="3"/>
  <c r="AE5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3" i="4"/>
  <c r="J34" i="4"/>
  <c r="I34" i="4"/>
  <c r="H34" i="4"/>
  <c r="G34" i="4"/>
  <c r="AH22" i="8"/>
  <c r="AH21" i="8"/>
  <c r="AH6" i="3"/>
  <c r="AH5" i="3"/>
  <c r="E6" i="3"/>
  <c r="C7" i="3"/>
  <c r="C8" i="3" s="1"/>
  <c r="E5" i="3"/>
  <c r="K11" i="4"/>
  <c r="L11" i="4"/>
  <c r="AA11" i="4" s="1"/>
  <c r="AH20" i="8"/>
  <c r="E8" i="8"/>
  <c r="C9" i="8"/>
  <c r="E7" i="8"/>
  <c r="AH18" i="8"/>
  <c r="K34" i="4" l="1"/>
  <c r="Z11" i="4"/>
  <c r="Z41" i="4"/>
  <c r="E8" i="3"/>
  <c r="C9" i="3"/>
  <c r="AH36" i="8"/>
  <c r="AA34" i="4"/>
  <c r="L34" i="4"/>
  <c r="Z34" i="4" s="1"/>
  <c r="E7" i="3"/>
  <c r="E9" i="8"/>
  <c r="C10" i="8"/>
  <c r="C10" i="3" l="1"/>
  <c r="E9" i="3"/>
  <c r="C11" i="8"/>
  <c r="E10" i="8"/>
  <c r="E10" i="3" l="1"/>
  <c r="C11" i="3"/>
  <c r="C12" i="8"/>
  <c r="E11" i="8"/>
  <c r="C12" i="3" l="1"/>
  <c r="C13" i="3" s="1"/>
  <c r="E11" i="3"/>
  <c r="C13" i="8"/>
  <c r="E12" i="8"/>
  <c r="E13" i="3" l="1"/>
  <c r="C14" i="3"/>
  <c r="E14" i="3" s="1"/>
  <c r="E12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<sst xmlns="http://schemas.openxmlformats.org/spreadsheetml/2006/main" count="625" uniqueCount="156">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</sst>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0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/>
    <xf numFmtId="0" fontId="3" fillId="0" borderId="1" xfId="0" quotePrefix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" fontId="2" fillId="0" borderId="0" xfId="0" applyNumberFormat="1" applyFont="1" applyBorder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3" fillId="0" borderId="0" xfId="3" applyNumberFormat="1" applyFont="1" applyFill="1"/>
    <xf numFmtId="165" fontId="3" fillId="0" borderId="0" xfId="1" applyNumberFormat="1" applyFont="1" applyFill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2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99" customFormat="1" x14ac:dyDescent="0.25">
      <c r="A1" s="126" t="s">
        <v>0</v>
      </c>
    </row>
    <row r="2" spans="1:15" s="99" customFormat="1" x14ac:dyDescent="0.25">
      <c r="A2" s="126" t="s">
        <v>1</v>
      </c>
    </row>
    <row r="3" spans="1:15" s="99" customFormat="1" x14ac:dyDescent="0.25">
      <c r="A3" s="99" t="s">
        <v>2</v>
      </c>
    </row>
    <row r="4" spans="1:15" x14ac:dyDescent="0.25">
      <c r="A4" s="107" t="s">
        <v>94</v>
      </c>
      <c r="B4" s="107"/>
      <c r="C4" s="107"/>
      <c r="D4" s="107"/>
      <c r="E4" s="107"/>
      <c r="F4" s="107"/>
      <c r="G4" s="107"/>
      <c r="H4" s="107"/>
      <c r="I4" s="107"/>
      <c r="J4" s="107"/>
      <c r="K4" s="81"/>
      <c r="L4" s="81"/>
      <c r="M4" s="81"/>
      <c r="N4" s="81"/>
      <c r="O4" s="81"/>
    </row>
    <row r="5" spans="1:15" x14ac:dyDescent="0.25">
      <c r="A5" s="81" t="s">
        <v>58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5">
      <c r="A6" s="81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s="99" customFormat="1" x14ac:dyDescent="0.25">
      <c r="A7" s="99" t="s">
        <v>4</v>
      </c>
    </row>
    <row r="8" spans="1:15" s="99" customFormat="1" x14ac:dyDescent="0.25">
      <c r="A8" s="99" t="s">
        <v>5</v>
      </c>
    </row>
    <row r="9" spans="1:15" s="99" customFormat="1" x14ac:dyDescent="0.25">
      <c r="A9" s="99" t="s">
        <v>6</v>
      </c>
    </row>
    <row r="10" spans="1:15" s="99" customFormat="1" x14ac:dyDescent="0.25">
      <c r="A10" s="99" t="s">
        <v>59</v>
      </c>
    </row>
    <row r="11" spans="1:15" s="99" customFormat="1" x14ac:dyDescent="0.25">
      <c r="A11" s="127" t="s">
        <v>95</v>
      </c>
    </row>
    <row r="12" spans="1:15" s="99" customFormat="1" x14ac:dyDescent="0.25">
      <c r="A12" s="99" t="s">
        <v>7</v>
      </c>
    </row>
    <row r="13" spans="1:15" s="99" customFormat="1" x14ac:dyDescent="0.25">
      <c r="A13" s="99" t="s">
        <v>8</v>
      </c>
    </row>
    <row r="14" spans="1:15" s="99" customFormat="1" x14ac:dyDescent="0.25">
      <c r="A14" s="99" t="s">
        <v>60</v>
      </c>
    </row>
    <row r="15" spans="1:15" s="99" customFormat="1" x14ac:dyDescent="0.25"/>
    <row r="16" spans="1:15" s="99" customFormat="1" x14ac:dyDescent="0.25">
      <c r="A16" s="126" t="s">
        <v>9</v>
      </c>
    </row>
    <row r="17" spans="1:1" s="99" customFormat="1" x14ac:dyDescent="0.25">
      <c r="A17" s="127" t="s">
        <v>96</v>
      </c>
    </row>
    <row r="18" spans="1:1" s="99" customFormat="1" x14ac:dyDescent="0.25">
      <c r="A18" s="99" t="s">
        <v>69</v>
      </c>
    </row>
    <row r="19" spans="1:1" s="99" customFormat="1" x14ac:dyDescent="0.25">
      <c r="A19" s="127" t="s">
        <v>97</v>
      </c>
    </row>
    <row r="20" spans="1:1" s="99" customFormat="1" x14ac:dyDescent="0.25">
      <c r="A20" s="99" t="s">
        <v>77</v>
      </c>
    </row>
    <row r="21" spans="1:1" s="99" customFormat="1" x14ac:dyDescent="0.25">
      <c r="A21" s="127" t="s">
        <v>98</v>
      </c>
    </row>
    <row r="22" spans="1:1" s="99" customFormat="1" x14ac:dyDescent="0.25">
      <c r="A22" s="127" t="s">
        <v>99</v>
      </c>
    </row>
    <row r="23" spans="1:1" s="99" customFormat="1" x14ac:dyDescent="0.25">
      <c r="A23" s="99" t="s">
        <v>61</v>
      </c>
    </row>
    <row r="24" spans="1:1" s="99" customFormat="1" x14ac:dyDescent="0.25"/>
    <row r="25" spans="1:1" s="99" customFormat="1" x14ac:dyDescent="0.25">
      <c r="A25" s="126" t="s">
        <v>10</v>
      </c>
    </row>
    <row r="26" spans="1:1" s="99" customFormat="1" x14ac:dyDescent="0.25">
      <c r="A26" s="127" t="s">
        <v>100</v>
      </c>
    </row>
    <row r="27" spans="1:1" s="99" customFormat="1" x14ac:dyDescent="0.25">
      <c r="A27" s="99" t="s">
        <v>114</v>
      </c>
    </row>
    <row r="28" spans="1:1" s="99" customFormat="1" x14ac:dyDescent="0.25">
      <c r="A28" s="127" t="s">
        <v>101</v>
      </c>
    </row>
    <row r="29" spans="1:1" s="99" customFormat="1" x14ac:dyDescent="0.25">
      <c r="A29" s="99" t="s">
        <v>11</v>
      </c>
    </row>
    <row r="30" spans="1:1" s="99" customFormat="1" x14ac:dyDescent="0.25"/>
    <row r="31" spans="1:1" s="99" customFormat="1" x14ac:dyDescent="0.25">
      <c r="A31" s="126" t="s">
        <v>12</v>
      </c>
    </row>
    <row r="32" spans="1:1" s="99" customFormat="1" x14ac:dyDescent="0.25">
      <c r="A32" s="99" t="s">
        <v>13</v>
      </c>
    </row>
    <row r="33" spans="1:1" s="99" customFormat="1" x14ac:dyDescent="0.25">
      <c r="A33" s="99" t="s">
        <v>14</v>
      </c>
    </row>
    <row r="34" spans="1:1" s="99" customFormat="1" x14ac:dyDescent="0.25">
      <c r="A34" s="99" t="s">
        <v>15</v>
      </c>
    </row>
    <row r="35" spans="1:1" s="99" customFormat="1" x14ac:dyDescent="0.25">
      <c r="A35" s="127" t="s">
        <v>102</v>
      </c>
    </row>
    <row r="36" spans="1:1" s="99" customFormat="1" x14ac:dyDescent="0.25">
      <c r="A36" s="99" t="s">
        <v>16</v>
      </c>
    </row>
    <row r="37" spans="1:1" s="9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4"/>
  <sheetViews>
    <sheetView zoomScale="130" zoomScaleNormal="130" workbookViewId="0">
      <selection activeCell="AF19" sqref="AF19"/>
    </sheetView>
  </sheetViews>
  <sheetFormatPr defaultColWidth="8.88671875" defaultRowHeight="13.2" x14ac:dyDescent="0.25"/>
  <cols>
    <col min="1" max="1" width="6" style="67" customWidth="1"/>
    <col min="2" max="2" width="2.109375" style="72" customWidth="1"/>
    <col min="3" max="3" width="6.88671875" style="72" customWidth="1"/>
    <col min="4" max="4" width="2.5546875" style="72" customWidth="1"/>
    <col min="5" max="5" width="7" style="72" customWidth="1"/>
    <col min="6" max="6" width="2.5546875" style="72" customWidth="1"/>
    <col min="7" max="7" width="5.88671875" style="72" customWidth="1"/>
    <col min="8" max="8" width="2.5546875" style="72" customWidth="1"/>
    <col min="9" max="9" width="6.6640625" style="72" customWidth="1"/>
    <col min="10" max="10" width="6" style="72" customWidth="1"/>
    <col min="11" max="11" width="6.6640625" style="72" customWidth="1"/>
    <col min="12" max="12" width="5.5546875" style="72" customWidth="1"/>
    <col min="13" max="13" width="6.6640625" style="72" customWidth="1"/>
    <col min="14" max="14" width="5.5546875" style="72" customWidth="1"/>
    <col min="15" max="15" width="2.5546875" style="72" customWidth="1"/>
    <col min="16" max="21" width="5.6640625" style="72" customWidth="1"/>
    <col min="22" max="22" width="2.6640625" style="72" customWidth="1"/>
    <col min="23" max="23" width="6.6640625" style="72" customWidth="1"/>
    <col min="24" max="24" width="5.6640625" style="72" customWidth="1"/>
    <col min="25" max="25" width="6.6640625" style="72" customWidth="1"/>
    <col min="26" max="26" width="5.5546875" style="72" customWidth="1"/>
    <col min="27" max="27" width="6.6640625" style="72" customWidth="1"/>
    <col min="28" max="28" width="5.5546875" style="72" customWidth="1"/>
    <col min="29" max="29" width="2.33203125" style="72" customWidth="1"/>
    <col min="30" max="30" width="6.5546875" style="72" customWidth="1"/>
    <col min="31" max="31" width="8.109375" style="72" customWidth="1"/>
    <col min="32" max="32" width="7.44140625" style="72" customWidth="1"/>
    <col min="33" max="33" width="3.5546875" style="72" customWidth="1"/>
    <col min="34" max="34" width="8.88671875" style="201"/>
    <col min="35" max="35" width="5.33203125" style="72" customWidth="1"/>
    <col min="36" max="16384" width="8.88671875" style="72"/>
  </cols>
  <sheetData>
    <row r="1" spans="1:39" s="131" customFormat="1" ht="15.6" x14ac:dyDescent="0.25">
      <c r="A1" s="131" t="s">
        <v>137</v>
      </c>
      <c r="AH1" s="138"/>
    </row>
    <row r="2" spans="1:39" s="131" customFormat="1" x14ac:dyDescent="0.25">
      <c r="A2" s="131" t="s">
        <v>55</v>
      </c>
      <c r="I2" s="136" t="s">
        <v>17</v>
      </c>
      <c r="J2" s="136"/>
      <c r="K2" s="136"/>
      <c r="L2" s="136"/>
      <c r="M2" s="136"/>
      <c r="N2" s="136"/>
      <c r="O2" s="137"/>
      <c r="P2" s="136" t="s">
        <v>18</v>
      </c>
      <c r="Q2" s="136"/>
      <c r="R2" s="136"/>
      <c r="S2" s="136"/>
      <c r="T2" s="136"/>
      <c r="U2" s="136"/>
      <c r="W2" s="136" t="s">
        <v>19</v>
      </c>
      <c r="X2" s="136"/>
      <c r="Y2" s="136"/>
      <c r="Z2" s="136"/>
      <c r="AA2" s="136"/>
      <c r="AB2" s="136"/>
      <c r="AD2" s="276" t="s">
        <v>26</v>
      </c>
      <c r="AE2" s="276"/>
      <c r="AF2" s="276"/>
      <c r="AH2" s="138"/>
    </row>
    <row r="3" spans="1:39" s="131" customFormat="1" ht="15.6" x14ac:dyDescent="0.25">
      <c r="A3" s="131" t="s">
        <v>20</v>
      </c>
      <c r="G3" s="138" t="s">
        <v>21</v>
      </c>
      <c r="I3" s="139" t="s">
        <v>22</v>
      </c>
      <c r="J3" s="139"/>
      <c r="K3" s="279" t="s">
        <v>151</v>
      </c>
      <c r="L3" s="280"/>
      <c r="M3" s="139" t="s">
        <v>24</v>
      </c>
      <c r="N3" s="139"/>
      <c r="P3" s="139" t="s">
        <v>22</v>
      </c>
      <c r="Q3" s="139"/>
      <c r="R3" s="139" t="s">
        <v>23</v>
      </c>
      <c r="S3" s="139"/>
      <c r="T3" s="139" t="s">
        <v>24</v>
      </c>
      <c r="U3" s="139"/>
      <c r="W3" s="139" t="s">
        <v>25</v>
      </c>
      <c r="X3" s="139"/>
      <c r="Y3" s="139" t="s">
        <v>23</v>
      </c>
      <c r="Z3" s="139"/>
      <c r="AA3" s="139" t="s">
        <v>24</v>
      </c>
      <c r="AB3" s="139"/>
      <c r="AD3" s="277"/>
      <c r="AE3" s="277"/>
      <c r="AF3" s="277"/>
      <c r="AH3" s="138"/>
    </row>
    <row r="4" spans="1:39" s="131" customFormat="1" ht="15.6" x14ac:dyDescent="0.25">
      <c r="A4" s="140" t="s">
        <v>27</v>
      </c>
      <c r="B4" s="140"/>
      <c r="C4" s="136" t="s">
        <v>28</v>
      </c>
      <c r="D4" s="136"/>
      <c r="E4" s="136"/>
      <c r="F4" s="140"/>
      <c r="G4" s="68" t="s">
        <v>29</v>
      </c>
      <c r="H4" s="68"/>
      <c r="I4" s="68" t="s">
        <v>30</v>
      </c>
      <c r="J4" s="68" t="s">
        <v>31</v>
      </c>
      <c r="K4" s="68" t="s">
        <v>30</v>
      </c>
      <c r="L4" s="68" t="s">
        <v>31</v>
      </c>
      <c r="M4" s="68" t="s">
        <v>30</v>
      </c>
      <c r="N4" s="68" t="s">
        <v>31</v>
      </c>
      <c r="O4" s="68"/>
      <c r="P4" s="68" t="s">
        <v>30</v>
      </c>
      <c r="Q4" s="68" t="s">
        <v>32</v>
      </c>
      <c r="R4" s="68" t="s">
        <v>30</v>
      </c>
      <c r="S4" s="68" t="s">
        <v>32</v>
      </c>
      <c r="T4" s="68" t="s">
        <v>30</v>
      </c>
      <c r="U4" s="68" t="s">
        <v>32</v>
      </c>
      <c r="V4" s="68"/>
      <c r="W4" s="68" t="s">
        <v>30</v>
      </c>
      <c r="X4" s="68" t="s">
        <v>31</v>
      </c>
      <c r="Y4" s="68" t="s">
        <v>30</v>
      </c>
      <c r="Z4" s="68" t="s">
        <v>31</v>
      </c>
      <c r="AA4" s="68" t="s">
        <v>30</v>
      </c>
      <c r="AB4" s="68" t="s">
        <v>31</v>
      </c>
      <c r="AC4" s="68"/>
      <c r="AD4" s="68" t="s">
        <v>33</v>
      </c>
      <c r="AE4" s="68" t="s">
        <v>34</v>
      </c>
      <c r="AF4" s="69" t="s">
        <v>30</v>
      </c>
      <c r="AH4" s="68" t="s">
        <v>106</v>
      </c>
      <c r="AI4" s="260" t="s">
        <v>115</v>
      </c>
      <c r="AK4" s="131" t="s">
        <v>153</v>
      </c>
      <c r="AL4" s="131" t="s">
        <v>154</v>
      </c>
      <c r="AM4" s="131" t="s">
        <v>155</v>
      </c>
    </row>
    <row r="5" spans="1:39" s="134" customFormat="1" x14ac:dyDescent="0.25">
      <c r="A5" s="138">
        <v>22</v>
      </c>
      <c r="B5" s="194"/>
      <c r="C5" s="195">
        <v>43979</v>
      </c>
      <c r="D5" s="132" t="s">
        <v>35</v>
      </c>
      <c r="E5" s="195">
        <f t="shared" ref="E5:E12" si="0">C5+6</f>
        <v>43985</v>
      </c>
      <c r="F5" s="194"/>
      <c r="G5" s="135">
        <v>2</v>
      </c>
      <c r="H5" s="135"/>
      <c r="I5" s="135">
        <v>0</v>
      </c>
      <c r="J5" s="135">
        <v>0</v>
      </c>
      <c r="K5" s="135">
        <v>46</v>
      </c>
      <c r="L5" s="135">
        <v>5</v>
      </c>
      <c r="M5" s="135">
        <f t="shared" ref="M5:M12" si="1">K5+I5</f>
        <v>46</v>
      </c>
      <c r="N5" s="135">
        <f t="shared" ref="N5:N12" si="2">L5+J5</f>
        <v>5</v>
      </c>
      <c r="O5" s="135"/>
      <c r="P5" s="135">
        <v>0</v>
      </c>
      <c r="Q5" s="135">
        <v>0</v>
      </c>
      <c r="R5" s="135">
        <v>0</v>
      </c>
      <c r="S5" s="135">
        <v>0</v>
      </c>
      <c r="T5" s="135">
        <f t="shared" ref="T5:T12" si="3">P5+R5</f>
        <v>0</v>
      </c>
      <c r="U5" s="135">
        <f t="shared" ref="U5" si="4">Q5+S5</f>
        <v>0</v>
      </c>
      <c r="V5" s="135"/>
      <c r="W5" s="135">
        <v>0</v>
      </c>
      <c r="X5" s="135">
        <v>0</v>
      </c>
      <c r="Y5" s="135">
        <v>1</v>
      </c>
      <c r="Z5" s="135">
        <v>0</v>
      </c>
      <c r="AA5" s="135">
        <f t="shared" ref="AA5:AA17" si="5">Y5+W5</f>
        <v>1</v>
      </c>
      <c r="AB5" s="135">
        <f t="shared" ref="AB5:AB17" si="6">Z5+X5</f>
        <v>0</v>
      </c>
      <c r="AC5" s="135"/>
      <c r="AD5" s="135">
        <v>0</v>
      </c>
      <c r="AE5" s="135">
        <v>0</v>
      </c>
      <c r="AF5" s="135">
        <f t="shared" ref="AF5" si="7">SUM(AD5:AE5)</f>
        <v>0</v>
      </c>
      <c r="AH5" s="132">
        <f>AF5+AA5+T5+M5</f>
        <v>47</v>
      </c>
      <c r="AK5" s="272">
        <f>N5/M5</f>
        <v>0.10869565217391304</v>
      </c>
      <c r="AL5" s="273" t="e">
        <f>U5/T5</f>
        <v>#DIV/0!</v>
      </c>
      <c r="AM5" s="273">
        <f>AB5/AA5</f>
        <v>0</v>
      </c>
    </row>
    <row r="6" spans="1:39" s="134" customFormat="1" x14ac:dyDescent="0.25">
      <c r="A6" s="138">
        <v>23</v>
      </c>
      <c r="B6" s="194"/>
      <c r="C6" s="195">
        <f t="shared" ref="C6:C12" si="8">C5+7</f>
        <v>43986</v>
      </c>
      <c r="D6" s="132" t="s">
        <v>35</v>
      </c>
      <c r="E6" s="195">
        <f t="shared" si="0"/>
        <v>43992</v>
      </c>
      <c r="F6" s="194"/>
      <c r="G6" s="135">
        <v>4</v>
      </c>
      <c r="H6" s="135"/>
      <c r="I6" s="135">
        <v>2</v>
      </c>
      <c r="J6" s="135">
        <v>0</v>
      </c>
      <c r="K6" s="135">
        <v>63</v>
      </c>
      <c r="L6" s="135">
        <v>5</v>
      </c>
      <c r="M6" s="70">
        <f t="shared" ref="M6:M11" si="9">K6+I6</f>
        <v>65</v>
      </c>
      <c r="N6" s="70">
        <f t="shared" ref="N6:N11" si="10">L6+J6</f>
        <v>5</v>
      </c>
      <c r="O6" s="135"/>
      <c r="P6" s="135">
        <v>0</v>
      </c>
      <c r="Q6" s="135">
        <v>0</v>
      </c>
      <c r="R6" s="135">
        <v>0</v>
      </c>
      <c r="S6" s="135">
        <v>0</v>
      </c>
      <c r="T6" s="70">
        <v>0</v>
      </c>
      <c r="U6" s="70">
        <f t="shared" ref="U6:U11" si="11">Q6+S6</f>
        <v>0</v>
      </c>
      <c r="V6" s="135"/>
      <c r="W6" s="135">
        <v>0</v>
      </c>
      <c r="X6" s="135">
        <v>0</v>
      </c>
      <c r="Y6" s="135">
        <v>2</v>
      </c>
      <c r="Z6" s="135">
        <v>0</v>
      </c>
      <c r="AA6" s="70">
        <f t="shared" si="5"/>
        <v>2</v>
      </c>
      <c r="AB6" s="70">
        <f t="shared" si="6"/>
        <v>0</v>
      </c>
      <c r="AC6" s="135"/>
      <c r="AD6" s="135">
        <v>0</v>
      </c>
      <c r="AE6" s="135">
        <v>0</v>
      </c>
      <c r="AF6" s="70">
        <f t="shared" ref="AF6:AF22" si="12">SUM(AD6:AE6)</f>
        <v>0</v>
      </c>
      <c r="AH6" s="132">
        <f t="shared" ref="AH6:AH19" si="13">AF6+AA6+T6+M6</f>
        <v>67</v>
      </c>
      <c r="AI6" s="134">
        <v>23</v>
      </c>
      <c r="AK6" s="272">
        <f t="shared" ref="AK6:AK24" si="14">N6/M6</f>
        <v>7.6923076923076927E-2</v>
      </c>
      <c r="AL6" s="273" t="e">
        <f t="shared" ref="AL6:AL24" si="15">U6/T6</f>
        <v>#DIV/0!</v>
      </c>
      <c r="AM6" s="273">
        <f t="shared" ref="AM6:AM24" si="16">AB6/AA6</f>
        <v>0</v>
      </c>
    </row>
    <row r="7" spans="1:39" s="134" customFormat="1" x14ac:dyDescent="0.25">
      <c r="A7" s="138">
        <v>24</v>
      </c>
      <c r="B7" s="194"/>
      <c r="C7" s="195">
        <f t="shared" si="8"/>
        <v>43993</v>
      </c>
      <c r="D7" s="132" t="s">
        <v>35</v>
      </c>
      <c r="E7" s="195">
        <f t="shared" si="0"/>
        <v>43999</v>
      </c>
      <c r="F7" s="194"/>
      <c r="G7" s="135">
        <v>6</v>
      </c>
      <c r="H7" s="135"/>
      <c r="I7" s="135">
        <v>3</v>
      </c>
      <c r="J7" s="135">
        <v>0</v>
      </c>
      <c r="K7" s="135">
        <v>286</v>
      </c>
      <c r="L7" s="135">
        <v>31</v>
      </c>
      <c r="M7" s="70">
        <f t="shared" si="9"/>
        <v>289</v>
      </c>
      <c r="N7" s="70">
        <f t="shared" si="10"/>
        <v>31</v>
      </c>
      <c r="O7" s="135"/>
      <c r="P7" s="135">
        <v>0</v>
      </c>
      <c r="Q7" s="135">
        <v>0</v>
      </c>
      <c r="R7" s="135">
        <v>0</v>
      </c>
      <c r="S7" s="135">
        <v>0</v>
      </c>
      <c r="T7" s="70">
        <f t="shared" ref="T7:T11" si="17">P7+R7</f>
        <v>0</v>
      </c>
      <c r="U7" s="70">
        <f t="shared" si="11"/>
        <v>0</v>
      </c>
      <c r="V7" s="135"/>
      <c r="W7" s="135">
        <v>0</v>
      </c>
      <c r="X7" s="135">
        <v>0</v>
      </c>
      <c r="Y7" s="135">
        <v>4</v>
      </c>
      <c r="Z7" s="135">
        <v>0</v>
      </c>
      <c r="AA7" s="70">
        <f t="shared" si="5"/>
        <v>4</v>
      </c>
      <c r="AB7" s="70">
        <f t="shared" si="6"/>
        <v>0</v>
      </c>
      <c r="AC7" s="135"/>
      <c r="AD7" s="135">
        <v>0</v>
      </c>
      <c r="AE7" s="135">
        <v>1</v>
      </c>
      <c r="AF7" s="70">
        <f t="shared" si="12"/>
        <v>1</v>
      </c>
      <c r="AH7" s="132">
        <f t="shared" si="13"/>
        <v>294</v>
      </c>
      <c r="AI7" s="134">
        <v>24</v>
      </c>
      <c r="AK7" s="272">
        <f t="shared" si="14"/>
        <v>0.10726643598615918</v>
      </c>
      <c r="AL7" s="273" t="e">
        <f t="shared" si="15"/>
        <v>#DIV/0!</v>
      </c>
      <c r="AM7" s="273">
        <f t="shared" si="16"/>
        <v>0</v>
      </c>
    </row>
    <row r="8" spans="1:39" s="134" customFormat="1" x14ac:dyDescent="0.25">
      <c r="A8" s="138">
        <v>25</v>
      </c>
      <c r="B8" s="194"/>
      <c r="C8" s="195">
        <f t="shared" si="8"/>
        <v>44000</v>
      </c>
      <c r="D8" s="132" t="s">
        <v>35</v>
      </c>
      <c r="E8" s="195">
        <f t="shared" si="0"/>
        <v>44006</v>
      </c>
      <c r="F8" s="194"/>
      <c r="G8" s="135">
        <v>5</v>
      </c>
      <c r="H8" s="135"/>
      <c r="I8" s="135">
        <v>8</v>
      </c>
      <c r="J8" s="135">
        <v>0</v>
      </c>
      <c r="K8" s="135">
        <v>616</v>
      </c>
      <c r="L8" s="135">
        <v>39</v>
      </c>
      <c r="M8" s="70">
        <f t="shared" si="9"/>
        <v>624</v>
      </c>
      <c r="N8" s="70">
        <f t="shared" si="10"/>
        <v>39</v>
      </c>
      <c r="O8" s="135"/>
      <c r="P8" s="135">
        <v>0</v>
      </c>
      <c r="Q8" s="135">
        <v>0</v>
      </c>
      <c r="R8" s="135">
        <v>0</v>
      </c>
      <c r="S8" s="135">
        <v>0</v>
      </c>
      <c r="T8" s="70">
        <f t="shared" si="17"/>
        <v>0</v>
      </c>
      <c r="U8" s="70">
        <f t="shared" si="11"/>
        <v>0</v>
      </c>
      <c r="V8" s="135"/>
      <c r="W8" s="135">
        <v>0</v>
      </c>
      <c r="X8" s="135">
        <v>0</v>
      </c>
      <c r="Y8" s="135">
        <v>8</v>
      </c>
      <c r="Z8" s="135">
        <v>0</v>
      </c>
      <c r="AA8" s="70">
        <f t="shared" si="5"/>
        <v>8</v>
      </c>
      <c r="AB8" s="70">
        <f t="shared" si="6"/>
        <v>0</v>
      </c>
      <c r="AC8" s="135"/>
      <c r="AD8" s="135">
        <v>0</v>
      </c>
      <c r="AE8" s="135">
        <v>4</v>
      </c>
      <c r="AF8" s="70">
        <f t="shared" si="12"/>
        <v>4</v>
      </c>
      <c r="AH8" s="132">
        <f t="shared" si="13"/>
        <v>636</v>
      </c>
      <c r="AI8" s="134">
        <v>25</v>
      </c>
      <c r="AK8" s="272">
        <f t="shared" si="14"/>
        <v>6.25E-2</v>
      </c>
      <c r="AL8" s="273" t="e">
        <f t="shared" si="15"/>
        <v>#DIV/0!</v>
      </c>
      <c r="AM8" s="273">
        <f t="shared" si="16"/>
        <v>0</v>
      </c>
    </row>
    <row r="9" spans="1:39" s="134" customFormat="1" x14ac:dyDescent="0.25">
      <c r="A9" s="138">
        <v>26</v>
      </c>
      <c r="B9" s="194"/>
      <c r="C9" s="195">
        <f t="shared" si="8"/>
        <v>44007</v>
      </c>
      <c r="D9" s="132" t="s">
        <v>35</v>
      </c>
      <c r="E9" s="195">
        <f t="shared" si="0"/>
        <v>44013</v>
      </c>
      <c r="F9" s="194"/>
      <c r="G9" s="135">
        <v>5</v>
      </c>
      <c r="H9" s="135"/>
      <c r="I9" s="135">
        <v>29</v>
      </c>
      <c r="J9" s="135">
        <v>1</v>
      </c>
      <c r="K9" s="135">
        <v>454</v>
      </c>
      <c r="L9" s="135">
        <v>14</v>
      </c>
      <c r="M9" s="70">
        <f t="shared" si="9"/>
        <v>483</v>
      </c>
      <c r="N9" s="70">
        <f t="shared" si="10"/>
        <v>15</v>
      </c>
      <c r="O9" s="135"/>
      <c r="P9" s="135">
        <v>0</v>
      </c>
      <c r="Q9" s="135">
        <v>0</v>
      </c>
      <c r="R9" s="135">
        <v>0</v>
      </c>
      <c r="S9" s="135">
        <v>0</v>
      </c>
      <c r="T9" s="70">
        <f t="shared" si="17"/>
        <v>0</v>
      </c>
      <c r="U9" s="70">
        <f t="shared" si="11"/>
        <v>0</v>
      </c>
      <c r="V9" s="135"/>
      <c r="W9" s="135">
        <v>0</v>
      </c>
      <c r="X9" s="135">
        <v>0</v>
      </c>
      <c r="Y9" s="135">
        <v>30</v>
      </c>
      <c r="Z9" s="135">
        <v>2</v>
      </c>
      <c r="AA9" s="70">
        <f t="shared" si="5"/>
        <v>30</v>
      </c>
      <c r="AB9" s="70">
        <f t="shared" si="6"/>
        <v>2</v>
      </c>
      <c r="AC9" s="135"/>
      <c r="AD9" s="135">
        <v>0</v>
      </c>
      <c r="AE9" s="135">
        <v>7</v>
      </c>
      <c r="AF9" s="70">
        <f t="shared" si="12"/>
        <v>7</v>
      </c>
      <c r="AH9" s="132">
        <f t="shared" si="13"/>
        <v>520</v>
      </c>
      <c r="AI9" s="134">
        <v>26</v>
      </c>
      <c r="AK9" s="272">
        <f t="shared" si="14"/>
        <v>3.1055900621118012E-2</v>
      </c>
      <c r="AL9" s="273" t="e">
        <f t="shared" si="15"/>
        <v>#DIV/0!</v>
      </c>
      <c r="AM9" s="273">
        <f t="shared" si="16"/>
        <v>6.6666666666666666E-2</v>
      </c>
    </row>
    <row r="10" spans="1:39" s="134" customFormat="1" x14ac:dyDescent="0.25">
      <c r="A10" s="138">
        <v>27</v>
      </c>
      <c r="B10" s="194"/>
      <c r="C10" s="195">
        <f t="shared" si="8"/>
        <v>44014</v>
      </c>
      <c r="D10" s="132" t="s">
        <v>35</v>
      </c>
      <c r="E10" s="195">
        <f t="shared" si="0"/>
        <v>44020</v>
      </c>
      <c r="F10" s="194"/>
      <c r="G10" s="135">
        <v>4</v>
      </c>
      <c r="H10" s="135"/>
      <c r="I10" s="135">
        <v>4</v>
      </c>
      <c r="J10" s="135">
        <v>0</v>
      </c>
      <c r="K10" s="135">
        <v>155</v>
      </c>
      <c r="L10" s="135">
        <v>4</v>
      </c>
      <c r="M10" s="70">
        <f t="shared" si="9"/>
        <v>159</v>
      </c>
      <c r="N10" s="70">
        <f t="shared" si="10"/>
        <v>4</v>
      </c>
      <c r="O10" s="135"/>
      <c r="P10" s="135">
        <v>0</v>
      </c>
      <c r="Q10" s="135">
        <v>0</v>
      </c>
      <c r="R10" s="135">
        <v>0</v>
      </c>
      <c r="S10" s="135">
        <v>0</v>
      </c>
      <c r="T10" s="70">
        <f t="shared" si="17"/>
        <v>0</v>
      </c>
      <c r="U10" s="70">
        <f t="shared" si="11"/>
        <v>0</v>
      </c>
      <c r="V10" s="135"/>
      <c r="W10" s="135">
        <v>0</v>
      </c>
      <c r="X10" s="135">
        <v>0</v>
      </c>
      <c r="Y10" s="135">
        <v>5</v>
      </c>
      <c r="Z10" s="135">
        <v>0</v>
      </c>
      <c r="AA10" s="70">
        <f t="shared" si="5"/>
        <v>5</v>
      </c>
      <c r="AB10" s="70">
        <f t="shared" si="6"/>
        <v>0</v>
      </c>
      <c r="AC10" s="135"/>
      <c r="AD10" s="135">
        <v>2</v>
      </c>
      <c r="AE10" s="135">
        <v>4</v>
      </c>
      <c r="AF10" s="70">
        <f t="shared" si="12"/>
        <v>6</v>
      </c>
      <c r="AH10" s="132">
        <f t="shared" si="13"/>
        <v>170</v>
      </c>
      <c r="AI10" s="134">
        <v>27</v>
      </c>
      <c r="AK10" s="272">
        <f t="shared" si="14"/>
        <v>2.5157232704402517E-2</v>
      </c>
      <c r="AL10" s="273" t="e">
        <f t="shared" si="15"/>
        <v>#DIV/0!</v>
      </c>
      <c r="AM10" s="273">
        <f t="shared" si="16"/>
        <v>0</v>
      </c>
    </row>
    <row r="11" spans="1:39" s="134" customFormat="1" x14ac:dyDescent="0.25">
      <c r="A11" s="138">
        <v>28</v>
      </c>
      <c r="B11" s="194"/>
      <c r="C11" s="195">
        <f t="shared" si="8"/>
        <v>44021</v>
      </c>
      <c r="D11" s="132" t="s">
        <v>35</v>
      </c>
      <c r="E11" s="195">
        <f t="shared" si="0"/>
        <v>44027</v>
      </c>
      <c r="F11" s="194"/>
      <c r="G11" s="135">
        <v>5</v>
      </c>
      <c r="H11" s="135"/>
      <c r="I11" s="135">
        <v>11</v>
      </c>
      <c r="J11" s="135">
        <v>0</v>
      </c>
      <c r="K11" s="135">
        <v>392</v>
      </c>
      <c r="L11" s="135">
        <v>7</v>
      </c>
      <c r="M11" s="70">
        <f t="shared" si="9"/>
        <v>403</v>
      </c>
      <c r="N11" s="70">
        <f t="shared" si="10"/>
        <v>7</v>
      </c>
      <c r="O11" s="135"/>
      <c r="P11" s="135">
        <v>0</v>
      </c>
      <c r="Q11" s="135">
        <v>0</v>
      </c>
      <c r="R11" s="135">
        <v>0</v>
      </c>
      <c r="S11" s="135">
        <v>0</v>
      </c>
      <c r="T11" s="70">
        <f t="shared" si="17"/>
        <v>0</v>
      </c>
      <c r="U11" s="70">
        <f t="shared" si="11"/>
        <v>0</v>
      </c>
      <c r="V11" s="135"/>
      <c r="W11" s="135">
        <v>0</v>
      </c>
      <c r="X11" s="135">
        <v>0</v>
      </c>
      <c r="Y11" s="135">
        <v>18</v>
      </c>
      <c r="Z11" s="135">
        <v>1</v>
      </c>
      <c r="AA11" s="70">
        <f t="shared" si="5"/>
        <v>18</v>
      </c>
      <c r="AB11" s="70">
        <f t="shared" si="6"/>
        <v>1</v>
      </c>
      <c r="AC11" s="135"/>
      <c r="AD11" s="135">
        <v>1</v>
      </c>
      <c r="AE11" s="135">
        <v>2</v>
      </c>
      <c r="AF11" s="70">
        <f t="shared" si="12"/>
        <v>3</v>
      </c>
      <c r="AH11" s="132">
        <f t="shared" si="13"/>
        <v>424</v>
      </c>
      <c r="AI11" s="134">
        <v>28</v>
      </c>
      <c r="AK11" s="272">
        <f t="shared" si="14"/>
        <v>1.7369727047146403E-2</v>
      </c>
      <c r="AL11" s="273" t="e">
        <f t="shared" si="15"/>
        <v>#DIV/0!</v>
      </c>
      <c r="AM11" s="273">
        <f t="shared" si="16"/>
        <v>5.5555555555555552E-2</v>
      </c>
    </row>
    <row r="12" spans="1:39" s="131" customFormat="1" x14ac:dyDescent="0.25">
      <c r="A12" s="138">
        <v>29</v>
      </c>
      <c r="B12" s="130"/>
      <c r="C12" s="195">
        <f t="shared" si="8"/>
        <v>44028</v>
      </c>
      <c r="D12" s="132" t="s">
        <v>35</v>
      </c>
      <c r="E12" s="195">
        <f t="shared" si="0"/>
        <v>44034</v>
      </c>
      <c r="F12" s="130"/>
      <c r="G12" s="135">
        <v>5</v>
      </c>
      <c r="H12" s="135"/>
      <c r="I12" s="135">
        <v>4</v>
      </c>
      <c r="J12" s="135">
        <v>0</v>
      </c>
      <c r="K12" s="135">
        <v>40</v>
      </c>
      <c r="L12" s="135">
        <v>1</v>
      </c>
      <c r="M12" s="70">
        <f t="shared" si="1"/>
        <v>44</v>
      </c>
      <c r="N12" s="70">
        <f t="shared" si="2"/>
        <v>1</v>
      </c>
      <c r="O12" s="70"/>
      <c r="P12" s="135">
        <v>0</v>
      </c>
      <c r="Q12" s="135">
        <v>0</v>
      </c>
      <c r="R12" s="135">
        <v>0</v>
      </c>
      <c r="S12" s="135">
        <v>0</v>
      </c>
      <c r="T12" s="70">
        <f t="shared" si="3"/>
        <v>0</v>
      </c>
      <c r="U12" s="70">
        <f>Q12+S12</f>
        <v>0</v>
      </c>
      <c r="V12" s="70"/>
      <c r="W12" s="135">
        <v>0</v>
      </c>
      <c r="X12" s="135">
        <v>0</v>
      </c>
      <c r="Y12" s="135">
        <v>11</v>
      </c>
      <c r="Z12" s="135">
        <v>1</v>
      </c>
      <c r="AA12" s="70">
        <f t="shared" si="5"/>
        <v>11</v>
      </c>
      <c r="AB12" s="70">
        <f t="shared" si="6"/>
        <v>1</v>
      </c>
      <c r="AC12" s="70"/>
      <c r="AD12" s="135">
        <v>1</v>
      </c>
      <c r="AE12" s="135">
        <v>0</v>
      </c>
      <c r="AF12" s="70">
        <f t="shared" si="12"/>
        <v>1</v>
      </c>
      <c r="AH12" s="132">
        <f t="shared" si="13"/>
        <v>56</v>
      </c>
      <c r="AI12" s="134">
        <v>29</v>
      </c>
      <c r="AK12" s="272">
        <f t="shared" si="14"/>
        <v>2.2727272727272728E-2</v>
      </c>
      <c r="AL12" s="273" t="e">
        <f t="shared" si="15"/>
        <v>#DIV/0!</v>
      </c>
      <c r="AM12" s="273">
        <f t="shared" si="16"/>
        <v>9.0909090909090912E-2</v>
      </c>
    </row>
    <row r="13" spans="1:39" s="131" customFormat="1" x14ac:dyDescent="0.25">
      <c r="A13" s="138">
        <v>30</v>
      </c>
      <c r="B13" s="130"/>
      <c r="C13" s="195">
        <f>C12+7</f>
        <v>44035</v>
      </c>
      <c r="D13" s="132" t="s">
        <v>35</v>
      </c>
      <c r="E13" s="195">
        <f>C13+6</f>
        <v>44041</v>
      </c>
      <c r="F13" s="130"/>
      <c r="G13" s="135">
        <v>5</v>
      </c>
      <c r="H13" s="135"/>
      <c r="I13" s="135">
        <v>8</v>
      </c>
      <c r="J13" s="135">
        <v>0</v>
      </c>
      <c r="K13" s="135">
        <v>52</v>
      </c>
      <c r="L13" s="135">
        <v>1</v>
      </c>
      <c r="M13" s="70">
        <f t="shared" ref="M13:N17" si="18">K13+I13</f>
        <v>60</v>
      </c>
      <c r="N13" s="70">
        <f t="shared" si="18"/>
        <v>1</v>
      </c>
      <c r="O13" s="70"/>
      <c r="P13" s="135">
        <v>0</v>
      </c>
      <c r="Q13" s="135">
        <v>0</v>
      </c>
      <c r="R13" s="135">
        <v>0</v>
      </c>
      <c r="S13" s="135">
        <v>0</v>
      </c>
      <c r="T13" s="70">
        <f t="shared" ref="T13:U17" si="19">P13+R13</f>
        <v>0</v>
      </c>
      <c r="U13" s="70">
        <f t="shared" si="19"/>
        <v>0</v>
      </c>
      <c r="V13" s="70"/>
      <c r="W13" s="135">
        <v>0</v>
      </c>
      <c r="X13" s="135">
        <v>0</v>
      </c>
      <c r="Y13" s="135">
        <v>6</v>
      </c>
      <c r="Z13" s="135">
        <v>0</v>
      </c>
      <c r="AA13" s="70">
        <f t="shared" si="5"/>
        <v>6</v>
      </c>
      <c r="AB13" s="70">
        <f t="shared" si="6"/>
        <v>0</v>
      </c>
      <c r="AC13" s="70"/>
      <c r="AD13" s="135">
        <v>0</v>
      </c>
      <c r="AE13" s="135">
        <v>0</v>
      </c>
      <c r="AF13" s="70">
        <f t="shared" si="12"/>
        <v>0</v>
      </c>
      <c r="AH13" s="132">
        <f t="shared" si="13"/>
        <v>66</v>
      </c>
      <c r="AI13" s="134">
        <v>30</v>
      </c>
      <c r="AK13" s="272">
        <f t="shared" si="14"/>
        <v>1.6666666666666666E-2</v>
      </c>
      <c r="AL13" s="273" t="e">
        <f t="shared" si="15"/>
        <v>#DIV/0!</v>
      </c>
      <c r="AM13" s="273">
        <f t="shared" si="16"/>
        <v>0</v>
      </c>
    </row>
    <row r="14" spans="1:39" s="134" customFormat="1" x14ac:dyDescent="0.25">
      <c r="A14" s="138">
        <v>31</v>
      </c>
      <c r="B14" s="132"/>
      <c r="C14" s="195">
        <f t="shared" ref="C14" si="20">C13+7</f>
        <v>44042</v>
      </c>
      <c r="D14" s="132" t="s">
        <v>35</v>
      </c>
      <c r="E14" s="195">
        <f t="shared" ref="E14:E19" si="21">E13+7</f>
        <v>44048</v>
      </c>
      <c r="F14" s="132"/>
      <c r="G14" s="135">
        <v>3</v>
      </c>
      <c r="H14" s="135"/>
      <c r="I14" s="202">
        <v>1</v>
      </c>
      <c r="J14" s="202">
        <v>0</v>
      </c>
      <c r="K14" s="202">
        <v>9</v>
      </c>
      <c r="L14" s="202">
        <v>0</v>
      </c>
      <c r="M14" s="70">
        <f t="shared" ref="M14" si="22">K14+I14</f>
        <v>10</v>
      </c>
      <c r="N14" s="70">
        <f t="shared" ref="N14" si="23">L14+J14</f>
        <v>0</v>
      </c>
      <c r="O14" s="70"/>
      <c r="P14" s="135">
        <v>0</v>
      </c>
      <c r="Q14" s="135">
        <v>0</v>
      </c>
      <c r="R14" s="135">
        <v>0</v>
      </c>
      <c r="S14" s="135">
        <v>0</v>
      </c>
      <c r="T14" s="70">
        <f t="shared" ref="T14" si="24">P14+R14</f>
        <v>0</v>
      </c>
      <c r="U14" s="70">
        <f t="shared" ref="U14" si="25">Q14+S14</f>
        <v>0</v>
      </c>
      <c r="V14" s="70"/>
      <c r="W14" s="135">
        <v>0</v>
      </c>
      <c r="X14" s="135">
        <v>0</v>
      </c>
      <c r="Y14" s="135">
        <v>3</v>
      </c>
      <c r="Z14" s="135">
        <v>0</v>
      </c>
      <c r="AA14" s="70">
        <f t="shared" si="5"/>
        <v>3</v>
      </c>
      <c r="AB14" s="70">
        <f t="shared" si="6"/>
        <v>0</v>
      </c>
      <c r="AC14" s="70"/>
      <c r="AD14" s="135">
        <v>0</v>
      </c>
      <c r="AE14" s="135">
        <v>0</v>
      </c>
      <c r="AF14" s="70">
        <f t="shared" si="12"/>
        <v>0</v>
      </c>
      <c r="AH14" s="132">
        <f t="shared" si="13"/>
        <v>13</v>
      </c>
      <c r="AI14" s="134">
        <v>31</v>
      </c>
      <c r="AK14" s="272">
        <f t="shared" si="14"/>
        <v>0</v>
      </c>
      <c r="AL14" s="273" t="e">
        <f t="shared" si="15"/>
        <v>#DIV/0!</v>
      </c>
      <c r="AM14" s="273">
        <f t="shared" si="16"/>
        <v>0</v>
      </c>
    </row>
    <row r="15" spans="1:39" s="134" customFormat="1" ht="15.6" x14ac:dyDescent="0.25">
      <c r="A15" s="138">
        <v>32</v>
      </c>
      <c r="B15" s="132"/>
      <c r="C15" s="195">
        <f t="shared" ref="C15:C19" si="26">C14+7</f>
        <v>44049</v>
      </c>
      <c r="D15" s="132" t="s">
        <v>35</v>
      </c>
      <c r="E15" s="195">
        <f t="shared" si="21"/>
        <v>44055</v>
      </c>
      <c r="F15" s="251"/>
      <c r="G15" s="135">
        <v>5</v>
      </c>
      <c r="H15" s="135"/>
      <c r="I15" s="135">
        <v>1</v>
      </c>
      <c r="J15" s="135">
        <v>0</v>
      </c>
      <c r="K15" s="135">
        <v>2</v>
      </c>
      <c r="L15" s="135">
        <v>0</v>
      </c>
      <c r="M15" s="70">
        <f t="shared" si="18"/>
        <v>3</v>
      </c>
      <c r="N15" s="70">
        <f t="shared" si="18"/>
        <v>0</v>
      </c>
      <c r="O15" s="70"/>
      <c r="P15" s="135">
        <v>0</v>
      </c>
      <c r="Q15" s="135">
        <v>0</v>
      </c>
      <c r="R15" s="135">
        <v>0</v>
      </c>
      <c r="S15" s="135">
        <v>0</v>
      </c>
      <c r="T15" s="70">
        <f>P15+R15</f>
        <v>0</v>
      </c>
      <c r="U15" s="70">
        <f t="shared" si="19"/>
        <v>0</v>
      </c>
      <c r="V15" s="70"/>
      <c r="W15" s="135">
        <v>0</v>
      </c>
      <c r="X15" s="135">
        <v>0</v>
      </c>
      <c r="Y15" s="135">
        <v>1</v>
      </c>
      <c r="Z15" s="135">
        <v>0</v>
      </c>
      <c r="AA15" s="70">
        <f t="shared" si="5"/>
        <v>1</v>
      </c>
      <c r="AB15" s="70">
        <f t="shared" si="6"/>
        <v>0</v>
      </c>
      <c r="AC15" s="70"/>
      <c r="AD15" s="135">
        <v>0</v>
      </c>
      <c r="AE15" s="135">
        <v>0</v>
      </c>
      <c r="AF15" s="70">
        <f t="shared" si="12"/>
        <v>0</v>
      </c>
      <c r="AH15" s="132">
        <f t="shared" si="13"/>
        <v>4</v>
      </c>
      <c r="AI15" s="134">
        <v>32</v>
      </c>
      <c r="AK15" s="272">
        <f t="shared" si="14"/>
        <v>0</v>
      </c>
      <c r="AL15" s="273" t="e">
        <f t="shared" si="15"/>
        <v>#DIV/0!</v>
      </c>
      <c r="AM15" s="273">
        <f t="shared" si="16"/>
        <v>0</v>
      </c>
    </row>
    <row r="16" spans="1:39" s="134" customFormat="1" ht="15.6" x14ac:dyDescent="0.25">
      <c r="A16" s="138">
        <v>33</v>
      </c>
      <c r="B16" s="132"/>
      <c r="C16" s="195">
        <f t="shared" si="26"/>
        <v>44056</v>
      </c>
      <c r="D16" s="132" t="s">
        <v>35</v>
      </c>
      <c r="E16" s="195">
        <f t="shared" si="21"/>
        <v>44062</v>
      </c>
      <c r="F16" s="251"/>
      <c r="G16" s="135">
        <v>4</v>
      </c>
      <c r="H16" s="135"/>
      <c r="I16" s="135">
        <v>17</v>
      </c>
      <c r="J16" s="135">
        <v>1</v>
      </c>
      <c r="K16" s="135">
        <v>122</v>
      </c>
      <c r="L16" s="135">
        <v>1</v>
      </c>
      <c r="M16" s="70">
        <f t="shared" si="18"/>
        <v>139</v>
      </c>
      <c r="N16" s="70">
        <f t="shared" si="18"/>
        <v>2</v>
      </c>
      <c r="O16" s="70"/>
      <c r="P16" s="135">
        <v>0</v>
      </c>
      <c r="Q16" s="135">
        <v>0</v>
      </c>
      <c r="R16" s="135">
        <v>0</v>
      </c>
      <c r="S16" s="135">
        <v>0</v>
      </c>
      <c r="T16" s="70">
        <f t="shared" si="19"/>
        <v>0</v>
      </c>
      <c r="U16" s="70">
        <f t="shared" si="19"/>
        <v>0</v>
      </c>
      <c r="V16" s="70"/>
      <c r="W16" s="135">
        <v>0</v>
      </c>
      <c r="X16" s="135">
        <v>0</v>
      </c>
      <c r="Y16" s="135">
        <v>5</v>
      </c>
      <c r="Z16" s="135">
        <v>3</v>
      </c>
      <c r="AA16" s="70">
        <f t="shared" si="5"/>
        <v>5</v>
      </c>
      <c r="AB16" s="70">
        <f t="shared" si="6"/>
        <v>3</v>
      </c>
      <c r="AC16" s="70"/>
      <c r="AD16" s="135">
        <v>0</v>
      </c>
      <c r="AE16" s="135">
        <v>0</v>
      </c>
      <c r="AF16" s="70">
        <f t="shared" si="12"/>
        <v>0</v>
      </c>
      <c r="AH16" s="132">
        <f t="shared" si="13"/>
        <v>144</v>
      </c>
      <c r="AI16" s="134">
        <v>33</v>
      </c>
      <c r="AK16" s="272">
        <f t="shared" si="14"/>
        <v>1.4388489208633094E-2</v>
      </c>
      <c r="AL16" s="273" t="e">
        <f t="shared" si="15"/>
        <v>#DIV/0!</v>
      </c>
      <c r="AM16" s="273">
        <f t="shared" si="16"/>
        <v>0.6</v>
      </c>
    </row>
    <row r="17" spans="1:39" s="134" customFormat="1" ht="15.6" x14ac:dyDescent="0.25">
      <c r="A17" s="138">
        <v>34</v>
      </c>
      <c r="B17" s="132"/>
      <c r="C17" s="195">
        <f t="shared" si="26"/>
        <v>44063</v>
      </c>
      <c r="D17" s="132" t="s">
        <v>35</v>
      </c>
      <c r="E17" s="195">
        <f t="shared" si="21"/>
        <v>44069</v>
      </c>
      <c r="F17" s="251"/>
      <c r="G17" s="135">
        <v>5</v>
      </c>
      <c r="H17" s="135"/>
      <c r="I17" s="135">
        <v>16</v>
      </c>
      <c r="J17" s="135">
        <v>0</v>
      </c>
      <c r="K17" s="135">
        <v>57</v>
      </c>
      <c r="L17" s="135">
        <v>0</v>
      </c>
      <c r="M17" s="70">
        <f t="shared" si="18"/>
        <v>73</v>
      </c>
      <c r="N17" s="70">
        <f t="shared" si="18"/>
        <v>0</v>
      </c>
      <c r="O17" s="70"/>
      <c r="P17" s="135">
        <v>0</v>
      </c>
      <c r="Q17" s="135">
        <v>0</v>
      </c>
      <c r="R17" s="135">
        <v>0</v>
      </c>
      <c r="S17" s="135">
        <v>0</v>
      </c>
      <c r="T17" s="70">
        <f t="shared" si="19"/>
        <v>0</v>
      </c>
      <c r="U17" s="70">
        <f t="shared" si="19"/>
        <v>0</v>
      </c>
      <c r="V17" s="70"/>
      <c r="W17" s="135">
        <v>0</v>
      </c>
      <c r="X17" s="135">
        <v>0</v>
      </c>
      <c r="Y17" s="135">
        <v>11</v>
      </c>
      <c r="Z17" s="135">
        <v>3</v>
      </c>
      <c r="AA17" s="70">
        <f t="shared" si="5"/>
        <v>11</v>
      </c>
      <c r="AB17" s="70">
        <f t="shared" si="6"/>
        <v>3</v>
      </c>
      <c r="AC17" s="70"/>
      <c r="AD17" s="135">
        <v>0</v>
      </c>
      <c r="AE17" s="135">
        <v>0</v>
      </c>
      <c r="AF17" s="70">
        <f t="shared" si="12"/>
        <v>0</v>
      </c>
      <c r="AH17" s="132">
        <f t="shared" si="13"/>
        <v>84</v>
      </c>
      <c r="AI17" s="134">
        <v>34</v>
      </c>
      <c r="AK17" s="272">
        <f t="shared" si="14"/>
        <v>0</v>
      </c>
      <c r="AL17" s="273" t="e">
        <f t="shared" si="15"/>
        <v>#DIV/0!</v>
      </c>
      <c r="AM17" s="273">
        <f t="shared" si="16"/>
        <v>0.27272727272727271</v>
      </c>
    </row>
    <row r="18" spans="1:39" s="134" customFormat="1" ht="15.6" x14ac:dyDescent="0.25">
      <c r="A18" s="138">
        <v>35</v>
      </c>
      <c r="B18" s="132"/>
      <c r="C18" s="195">
        <f t="shared" si="26"/>
        <v>44070</v>
      </c>
      <c r="D18" s="132" t="s">
        <v>35</v>
      </c>
      <c r="E18" s="195">
        <f t="shared" si="21"/>
        <v>44076</v>
      </c>
      <c r="F18" s="251"/>
      <c r="G18" s="135">
        <v>4</v>
      </c>
      <c r="H18" s="135"/>
      <c r="I18" s="135">
        <v>0</v>
      </c>
      <c r="J18" s="135">
        <v>0</v>
      </c>
      <c r="K18" s="135">
        <v>0</v>
      </c>
      <c r="L18" s="135">
        <v>0</v>
      </c>
      <c r="M18" s="70">
        <f t="shared" ref="M18:M22" si="27">K18+I18</f>
        <v>0</v>
      </c>
      <c r="N18" s="70">
        <f t="shared" ref="N18:N22" si="28">L18+J18</f>
        <v>0</v>
      </c>
      <c r="O18" s="70"/>
      <c r="P18" s="135">
        <v>0</v>
      </c>
      <c r="Q18" s="135">
        <v>0</v>
      </c>
      <c r="R18" s="135">
        <v>0</v>
      </c>
      <c r="S18" s="135">
        <v>0</v>
      </c>
      <c r="T18" s="70">
        <f t="shared" ref="T18:T22" si="29">P18+R18</f>
        <v>0</v>
      </c>
      <c r="U18" s="70">
        <f t="shared" ref="U18:U22" si="30">Q18+S18</f>
        <v>0</v>
      </c>
      <c r="V18" s="70"/>
      <c r="W18" s="135">
        <v>0</v>
      </c>
      <c r="X18" s="135">
        <v>0</v>
      </c>
      <c r="Y18" s="135">
        <v>5</v>
      </c>
      <c r="Z18" s="135">
        <v>3</v>
      </c>
      <c r="AA18" s="70">
        <f t="shared" ref="AA18:AA22" si="31">Y18+W18</f>
        <v>5</v>
      </c>
      <c r="AB18" s="70">
        <f t="shared" ref="AB18:AB22" si="32">Z18+X18</f>
        <v>3</v>
      </c>
      <c r="AC18" s="70"/>
      <c r="AD18" s="135">
        <v>0</v>
      </c>
      <c r="AE18" s="135">
        <v>0</v>
      </c>
      <c r="AF18" s="70">
        <f t="shared" si="12"/>
        <v>0</v>
      </c>
      <c r="AH18" s="132">
        <f t="shared" si="13"/>
        <v>5</v>
      </c>
      <c r="AI18" s="134">
        <v>35</v>
      </c>
      <c r="AK18" s="272" t="e">
        <f t="shared" si="14"/>
        <v>#DIV/0!</v>
      </c>
      <c r="AL18" s="273" t="e">
        <f t="shared" si="15"/>
        <v>#DIV/0!</v>
      </c>
      <c r="AM18" s="273">
        <f t="shared" si="16"/>
        <v>0.6</v>
      </c>
    </row>
    <row r="19" spans="1:39" s="134" customFormat="1" ht="15.6" x14ac:dyDescent="0.25">
      <c r="A19" s="138">
        <v>36</v>
      </c>
      <c r="B19" s="132"/>
      <c r="C19" s="195">
        <f t="shared" si="26"/>
        <v>44077</v>
      </c>
      <c r="D19" s="132" t="s">
        <v>35</v>
      </c>
      <c r="E19" s="195">
        <f t="shared" si="21"/>
        <v>44083</v>
      </c>
      <c r="F19" s="251"/>
      <c r="G19" s="135">
        <v>4</v>
      </c>
      <c r="H19" s="135"/>
      <c r="I19" s="135">
        <v>0</v>
      </c>
      <c r="J19" s="135">
        <v>0</v>
      </c>
      <c r="K19" s="135">
        <v>8</v>
      </c>
      <c r="L19" s="135">
        <v>0</v>
      </c>
      <c r="M19" s="70">
        <f t="shared" si="27"/>
        <v>8</v>
      </c>
      <c r="N19" s="70">
        <f t="shared" si="28"/>
        <v>0</v>
      </c>
      <c r="O19" s="70"/>
      <c r="P19" s="135">
        <v>0</v>
      </c>
      <c r="Q19" s="135">
        <v>0</v>
      </c>
      <c r="R19" s="135">
        <v>0</v>
      </c>
      <c r="S19" s="135">
        <v>0</v>
      </c>
      <c r="T19" s="70">
        <f t="shared" si="29"/>
        <v>0</v>
      </c>
      <c r="U19" s="70">
        <f t="shared" si="30"/>
        <v>0</v>
      </c>
      <c r="V19" s="70"/>
      <c r="W19" s="135">
        <v>0</v>
      </c>
      <c r="X19" s="135">
        <v>0</v>
      </c>
      <c r="Y19" s="135">
        <v>3</v>
      </c>
      <c r="Z19" s="135">
        <v>0</v>
      </c>
      <c r="AA19" s="70">
        <f t="shared" si="31"/>
        <v>3</v>
      </c>
      <c r="AB19" s="70">
        <f t="shared" si="32"/>
        <v>0</v>
      </c>
      <c r="AC19" s="70"/>
      <c r="AD19" s="135">
        <v>0</v>
      </c>
      <c r="AE19" s="135">
        <v>0</v>
      </c>
      <c r="AF19" s="70">
        <f t="shared" si="12"/>
        <v>0</v>
      </c>
      <c r="AH19" s="132">
        <f t="shared" si="13"/>
        <v>11</v>
      </c>
      <c r="AI19" s="134">
        <v>36</v>
      </c>
      <c r="AK19" s="272">
        <f t="shared" si="14"/>
        <v>0</v>
      </c>
      <c r="AL19" s="273" t="e">
        <f t="shared" si="15"/>
        <v>#DIV/0!</v>
      </c>
      <c r="AM19" s="273">
        <f t="shared" si="16"/>
        <v>0</v>
      </c>
    </row>
    <row r="20" spans="1:39" s="134" customFormat="1" ht="15.6" x14ac:dyDescent="0.25">
      <c r="A20" s="138">
        <v>37</v>
      </c>
      <c r="B20" s="132"/>
      <c r="C20" s="195">
        <f>C19+7</f>
        <v>44084</v>
      </c>
      <c r="D20" s="132" t="s">
        <v>35</v>
      </c>
      <c r="E20" s="195">
        <f>E19+7</f>
        <v>44090</v>
      </c>
      <c r="F20" s="251"/>
      <c r="G20" s="135"/>
      <c r="H20" s="135"/>
      <c r="I20" s="135"/>
      <c r="J20" s="135"/>
      <c r="K20" s="135"/>
      <c r="L20" s="135"/>
      <c r="M20" s="70">
        <f t="shared" si="27"/>
        <v>0</v>
      </c>
      <c r="N20" s="70">
        <f t="shared" si="28"/>
        <v>0</v>
      </c>
      <c r="O20" s="70"/>
      <c r="P20" s="135"/>
      <c r="Q20" s="135"/>
      <c r="R20" s="135"/>
      <c r="S20" s="135"/>
      <c r="T20" s="70">
        <f t="shared" si="29"/>
        <v>0</v>
      </c>
      <c r="U20" s="70">
        <f t="shared" si="30"/>
        <v>0</v>
      </c>
      <c r="V20" s="70"/>
      <c r="W20" s="135"/>
      <c r="X20" s="135"/>
      <c r="Y20" s="135"/>
      <c r="Z20" s="135"/>
      <c r="AA20" s="70">
        <f t="shared" si="31"/>
        <v>0</v>
      </c>
      <c r="AB20" s="70">
        <f t="shared" si="32"/>
        <v>0</v>
      </c>
      <c r="AC20" s="70"/>
      <c r="AD20" s="135"/>
      <c r="AE20" s="135"/>
      <c r="AF20" s="70">
        <f t="shared" si="12"/>
        <v>0</v>
      </c>
      <c r="AH20" s="132">
        <f t="shared" ref="AH20:AH44" si="33">AF20+AA20+T20+M20</f>
        <v>0</v>
      </c>
      <c r="AI20" s="134">
        <v>37</v>
      </c>
      <c r="AK20" s="272" t="e">
        <f t="shared" si="14"/>
        <v>#DIV/0!</v>
      </c>
      <c r="AL20" s="273" t="e">
        <f t="shared" si="15"/>
        <v>#DIV/0!</v>
      </c>
      <c r="AM20" s="273" t="e">
        <f t="shared" si="16"/>
        <v>#DIV/0!</v>
      </c>
    </row>
    <row r="21" spans="1:39" s="134" customFormat="1" x14ac:dyDescent="0.25">
      <c r="A21" s="138">
        <v>38</v>
      </c>
      <c r="B21" s="132"/>
      <c r="C21" s="195">
        <f t="shared" ref="C21:C34" si="34">C20+7</f>
        <v>44091</v>
      </c>
      <c r="D21" s="132" t="s">
        <v>35</v>
      </c>
      <c r="E21" s="195">
        <f t="shared" ref="E21:E34" si="35">E20+7</f>
        <v>44097</v>
      </c>
      <c r="F21" s="132"/>
      <c r="G21" s="135"/>
      <c r="H21" s="135"/>
      <c r="I21" s="135"/>
      <c r="J21" s="135"/>
      <c r="K21" s="135"/>
      <c r="L21" s="135"/>
      <c r="M21" s="70">
        <f t="shared" si="27"/>
        <v>0</v>
      </c>
      <c r="N21" s="70">
        <f t="shared" si="28"/>
        <v>0</v>
      </c>
      <c r="O21" s="70"/>
      <c r="P21" s="135"/>
      <c r="Q21" s="135"/>
      <c r="R21" s="135"/>
      <c r="S21" s="135"/>
      <c r="T21" s="70">
        <f t="shared" si="29"/>
        <v>0</v>
      </c>
      <c r="U21" s="70">
        <f t="shared" si="30"/>
        <v>0</v>
      </c>
      <c r="V21" s="70"/>
      <c r="W21" s="135"/>
      <c r="X21" s="135"/>
      <c r="Y21" s="135"/>
      <c r="Z21" s="135"/>
      <c r="AA21" s="70">
        <f t="shared" si="31"/>
        <v>0</v>
      </c>
      <c r="AB21" s="70">
        <f t="shared" si="32"/>
        <v>0</v>
      </c>
      <c r="AC21" s="70"/>
      <c r="AD21" s="135"/>
      <c r="AE21" s="135"/>
      <c r="AF21" s="70">
        <f t="shared" si="12"/>
        <v>0</v>
      </c>
      <c r="AH21" s="132">
        <f t="shared" si="33"/>
        <v>0</v>
      </c>
      <c r="AI21" s="134">
        <v>38</v>
      </c>
      <c r="AK21" s="272" t="e">
        <f t="shared" si="14"/>
        <v>#DIV/0!</v>
      </c>
      <c r="AL21" s="273" t="e">
        <f t="shared" si="15"/>
        <v>#DIV/0!</v>
      </c>
      <c r="AM21" s="273" t="e">
        <f t="shared" si="16"/>
        <v>#DIV/0!</v>
      </c>
    </row>
    <row r="22" spans="1:39" s="134" customFormat="1" x14ac:dyDescent="0.25">
      <c r="A22" s="138">
        <v>39</v>
      </c>
      <c r="B22" s="132"/>
      <c r="C22" s="195">
        <f t="shared" si="34"/>
        <v>44098</v>
      </c>
      <c r="D22" s="132" t="s">
        <v>35</v>
      </c>
      <c r="E22" s="195">
        <f t="shared" si="35"/>
        <v>44104</v>
      </c>
      <c r="F22" s="132"/>
      <c r="G22" s="135"/>
      <c r="H22" s="135"/>
      <c r="I22" s="135"/>
      <c r="J22" s="135"/>
      <c r="K22" s="135"/>
      <c r="L22" s="135"/>
      <c r="M22" s="70">
        <f t="shared" si="27"/>
        <v>0</v>
      </c>
      <c r="N22" s="70">
        <f t="shared" si="28"/>
        <v>0</v>
      </c>
      <c r="O22" s="70"/>
      <c r="P22" s="135"/>
      <c r="Q22" s="135"/>
      <c r="R22" s="135"/>
      <c r="S22" s="135"/>
      <c r="T22" s="70">
        <f t="shared" si="29"/>
        <v>0</v>
      </c>
      <c r="U22" s="70">
        <f t="shared" si="30"/>
        <v>0</v>
      </c>
      <c r="V22" s="70"/>
      <c r="W22" s="135"/>
      <c r="X22" s="135"/>
      <c r="Y22" s="135"/>
      <c r="Z22" s="135"/>
      <c r="AA22" s="70">
        <f t="shared" si="31"/>
        <v>0</v>
      </c>
      <c r="AB22" s="70">
        <f t="shared" si="32"/>
        <v>0</v>
      </c>
      <c r="AC22" s="70"/>
      <c r="AD22" s="135"/>
      <c r="AE22" s="135"/>
      <c r="AF22" s="70">
        <f t="shared" si="12"/>
        <v>0</v>
      </c>
      <c r="AH22" s="132">
        <f t="shared" si="33"/>
        <v>0</v>
      </c>
      <c r="AI22" s="134">
        <v>39</v>
      </c>
      <c r="AK22" s="272" t="e">
        <f t="shared" si="14"/>
        <v>#DIV/0!</v>
      </c>
      <c r="AL22" s="273" t="e">
        <f t="shared" si="15"/>
        <v>#DIV/0!</v>
      </c>
      <c r="AM22" s="273" t="e">
        <f t="shared" si="16"/>
        <v>#DIV/0!</v>
      </c>
    </row>
    <row r="23" spans="1:39" s="134" customFormat="1" x14ac:dyDescent="0.25">
      <c r="A23" s="138">
        <v>40</v>
      </c>
      <c r="B23" s="132"/>
      <c r="C23" s="195">
        <f t="shared" si="34"/>
        <v>44105</v>
      </c>
      <c r="D23" s="132" t="s">
        <v>35</v>
      </c>
      <c r="E23" s="195">
        <f t="shared" si="35"/>
        <v>44111</v>
      </c>
      <c r="F23" s="132"/>
      <c r="G23" s="135"/>
      <c r="H23" s="135"/>
      <c r="I23" s="135"/>
      <c r="J23" s="135"/>
      <c r="K23" s="135"/>
      <c r="L23" s="135"/>
      <c r="M23" s="70">
        <f t="shared" ref="M23:M24" si="36">K23+I23</f>
        <v>0</v>
      </c>
      <c r="N23" s="70">
        <f t="shared" ref="N23:N24" si="37">L23+J23</f>
        <v>0</v>
      </c>
      <c r="O23" s="70"/>
      <c r="P23" s="135"/>
      <c r="Q23" s="135"/>
      <c r="R23" s="135"/>
      <c r="S23" s="135"/>
      <c r="T23" s="70">
        <f t="shared" ref="T23:T24" si="38">P23+R23</f>
        <v>0</v>
      </c>
      <c r="U23" s="70">
        <f t="shared" ref="U23:U24" si="39">Q23+S23</f>
        <v>0</v>
      </c>
      <c r="V23" s="70"/>
      <c r="W23" s="135"/>
      <c r="X23" s="135"/>
      <c r="Y23" s="135"/>
      <c r="Z23" s="135"/>
      <c r="AA23" s="70">
        <f t="shared" ref="AA23" si="40">Y23+W23</f>
        <v>0</v>
      </c>
      <c r="AB23" s="70">
        <f t="shared" ref="AB23" si="41">Z23+X23</f>
        <v>0</v>
      </c>
      <c r="AC23" s="70"/>
      <c r="AD23" s="135"/>
      <c r="AE23" s="135"/>
      <c r="AF23" s="70">
        <f t="shared" ref="AF23:AF34" si="42">SUM(AD23:AE23)</f>
        <v>0</v>
      </c>
      <c r="AH23" s="132">
        <f t="shared" si="33"/>
        <v>0</v>
      </c>
      <c r="AI23" s="134">
        <v>40</v>
      </c>
      <c r="AK23" s="272" t="e">
        <f t="shared" si="14"/>
        <v>#DIV/0!</v>
      </c>
      <c r="AL23" s="273" t="e">
        <f t="shared" si="15"/>
        <v>#DIV/0!</v>
      </c>
      <c r="AM23" s="273" t="e">
        <f t="shared" si="16"/>
        <v>#DIV/0!</v>
      </c>
    </row>
    <row r="24" spans="1:39" s="134" customFormat="1" x14ac:dyDescent="0.25">
      <c r="A24" s="138">
        <v>41</v>
      </c>
      <c r="B24" s="132"/>
      <c r="C24" s="195">
        <f t="shared" si="34"/>
        <v>44112</v>
      </c>
      <c r="D24" s="132" t="s">
        <v>35</v>
      </c>
      <c r="E24" s="195">
        <f t="shared" si="35"/>
        <v>44118</v>
      </c>
      <c r="F24" s="132"/>
      <c r="G24" s="135"/>
      <c r="H24" s="135"/>
      <c r="I24" s="135"/>
      <c r="J24" s="135"/>
      <c r="K24" s="135"/>
      <c r="L24" s="135"/>
      <c r="M24" s="70">
        <f t="shared" si="36"/>
        <v>0</v>
      </c>
      <c r="N24" s="70">
        <f t="shared" si="37"/>
        <v>0</v>
      </c>
      <c r="O24" s="70"/>
      <c r="P24" s="135"/>
      <c r="Q24" s="135"/>
      <c r="R24" s="135"/>
      <c r="S24" s="135"/>
      <c r="T24" s="70">
        <f t="shared" si="38"/>
        <v>0</v>
      </c>
      <c r="U24" s="70">
        <f t="shared" si="39"/>
        <v>0</v>
      </c>
      <c r="V24" s="70"/>
      <c r="W24" s="135"/>
      <c r="X24" s="135"/>
      <c r="Y24" s="135"/>
      <c r="Z24" s="135"/>
      <c r="AA24" s="70">
        <f t="shared" ref="AA24:AA34" si="43">Y24+W24</f>
        <v>0</v>
      </c>
      <c r="AB24" s="70">
        <f t="shared" ref="AB24:AB34" si="44">Z24+X24</f>
        <v>0</v>
      </c>
      <c r="AC24" s="70"/>
      <c r="AD24" s="135"/>
      <c r="AE24" s="135"/>
      <c r="AF24" s="70">
        <f t="shared" si="42"/>
        <v>0</v>
      </c>
      <c r="AH24" s="132">
        <f t="shared" si="33"/>
        <v>0</v>
      </c>
      <c r="AI24" s="134">
        <v>41</v>
      </c>
      <c r="AK24" s="274" t="e">
        <f t="shared" si="14"/>
        <v>#DIV/0!</v>
      </c>
      <c r="AL24" s="275" t="e">
        <f t="shared" si="15"/>
        <v>#DIV/0!</v>
      </c>
      <c r="AM24" s="275" t="e">
        <f t="shared" si="16"/>
        <v>#DIV/0!</v>
      </c>
    </row>
    <row r="25" spans="1:39" s="134" customFormat="1" x14ac:dyDescent="0.25">
      <c r="A25" s="138">
        <v>42</v>
      </c>
      <c r="B25" s="132"/>
      <c r="C25" s="195">
        <f t="shared" si="34"/>
        <v>44119</v>
      </c>
      <c r="D25" s="132" t="s">
        <v>35</v>
      </c>
      <c r="E25" s="195">
        <f t="shared" si="35"/>
        <v>44125</v>
      </c>
      <c r="F25" s="132"/>
      <c r="G25" s="135"/>
      <c r="H25" s="135"/>
      <c r="I25" s="135"/>
      <c r="J25" s="135"/>
      <c r="K25" s="135"/>
      <c r="L25" s="135"/>
      <c r="M25" s="70">
        <f t="shared" ref="M25:M34" si="45">K25+I25</f>
        <v>0</v>
      </c>
      <c r="N25" s="70">
        <f t="shared" ref="N25:N34" si="46">L25+J25</f>
        <v>0</v>
      </c>
      <c r="O25" s="70"/>
      <c r="P25" s="135"/>
      <c r="Q25" s="135"/>
      <c r="R25" s="135"/>
      <c r="S25" s="135"/>
      <c r="T25" s="70">
        <f t="shared" ref="T25:T34" si="47">P25+R25</f>
        <v>0</v>
      </c>
      <c r="U25" s="70">
        <f t="shared" ref="U25:U34" si="48">Q25+S25</f>
        <v>0</v>
      </c>
      <c r="V25" s="70"/>
      <c r="W25" s="135"/>
      <c r="X25" s="135"/>
      <c r="Y25" s="135"/>
      <c r="Z25" s="135"/>
      <c r="AA25" s="70">
        <f t="shared" si="43"/>
        <v>0</v>
      </c>
      <c r="AB25" s="70">
        <f t="shared" si="44"/>
        <v>0</v>
      </c>
      <c r="AC25" s="70"/>
      <c r="AD25" s="135"/>
      <c r="AE25" s="135"/>
      <c r="AF25" s="70">
        <f t="shared" si="42"/>
        <v>0</v>
      </c>
      <c r="AH25" s="132">
        <f t="shared" si="33"/>
        <v>0</v>
      </c>
      <c r="AI25" s="134">
        <v>42</v>
      </c>
    </row>
    <row r="26" spans="1:39" s="134" customFormat="1" x14ac:dyDescent="0.25">
      <c r="A26" s="138">
        <v>43</v>
      </c>
      <c r="B26" s="132"/>
      <c r="C26" s="195">
        <f t="shared" si="34"/>
        <v>44126</v>
      </c>
      <c r="D26" s="132" t="s">
        <v>35</v>
      </c>
      <c r="E26" s="195">
        <f t="shared" si="35"/>
        <v>44132</v>
      </c>
      <c r="F26" s="132"/>
      <c r="G26" s="135"/>
      <c r="H26" s="135"/>
      <c r="I26" s="135"/>
      <c r="J26" s="135"/>
      <c r="K26" s="135"/>
      <c r="L26" s="135"/>
      <c r="M26" s="70">
        <f t="shared" si="45"/>
        <v>0</v>
      </c>
      <c r="N26" s="70">
        <f t="shared" si="46"/>
        <v>0</v>
      </c>
      <c r="O26" s="70"/>
      <c r="P26" s="135"/>
      <c r="Q26" s="135"/>
      <c r="R26" s="135"/>
      <c r="S26" s="135"/>
      <c r="T26" s="70">
        <f t="shared" si="47"/>
        <v>0</v>
      </c>
      <c r="U26" s="70">
        <f t="shared" si="48"/>
        <v>0</v>
      </c>
      <c r="V26" s="70"/>
      <c r="W26" s="135"/>
      <c r="X26" s="135"/>
      <c r="Y26" s="135"/>
      <c r="Z26" s="135"/>
      <c r="AA26" s="70">
        <f t="shared" si="43"/>
        <v>0</v>
      </c>
      <c r="AB26" s="70">
        <f t="shared" si="44"/>
        <v>0</v>
      </c>
      <c r="AC26" s="70"/>
      <c r="AD26" s="135"/>
      <c r="AE26" s="135"/>
      <c r="AF26" s="70">
        <f t="shared" si="42"/>
        <v>0</v>
      </c>
      <c r="AH26" s="132">
        <f t="shared" si="33"/>
        <v>0</v>
      </c>
      <c r="AI26" s="134">
        <v>43</v>
      </c>
    </row>
    <row r="27" spans="1:39" s="134" customFormat="1" x14ac:dyDescent="0.25">
      <c r="A27" s="138">
        <v>44</v>
      </c>
      <c r="B27" s="132"/>
      <c r="C27" s="195">
        <f t="shared" si="34"/>
        <v>44133</v>
      </c>
      <c r="D27" s="132" t="s">
        <v>35</v>
      </c>
      <c r="E27" s="195">
        <f t="shared" si="35"/>
        <v>44139</v>
      </c>
      <c r="F27" s="132"/>
      <c r="G27" s="135"/>
      <c r="H27" s="135"/>
      <c r="I27" s="135"/>
      <c r="J27" s="135"/>
      <c r="K27" s="135"/>
      <c r="L27" s="135"/>
      <c r="M27" s="70">
        <f t="shared" si="45"/>
        <v>0</v>
      </c>
      <c r="N27" s="70">
        <f t="shared" si="46"/>
        <v>0</v>
      </c>
      <c r="O27" s="70"/>
      <c r="P27" s="135"/>
      <c r="Q27" s="135"/>
      <c r="R27" s="135"/>
      <c r="S27" s="135"/>
      <c r="T27" s="70">
        <f t="shared" si="47"/>
        <v>0</v>
      </c>
      <c r="U27" s="70">
        <f t="shared" si="48"/>
        <v>0</v>
      </c>
      <c r="V27" s="70"/>
      <c r="W27" s="135"/>
      <c r="X27" s="135"/>
      <c r="Y27" s="135"/>
      <c r="Z27" s="135"/>
      <c r="AA27" s="70">
        <f t="shared" si="43"/>
        <v>0</v>
      </c>
      <c r="AB27" s="70">
        <f t="shared" si="44"/>
        <v>0</v>
      </c>
      <c r="AC27" s="70"/>
      <c r="AD27" s="135"/>
      <c r="AE27" s="135"/>
      <c r="AF27" s="70">
        <f t="shared" si="42"/>
        <v>0</v>
      </c>
      <c r="AH27" s="132">
        <f t="shared" si="33"/>
        <v>0</v>
      </c>
      <c r="AI27" s="134">
        <v>44</v>
      </c>
    </row>
    <row r="28" spans="1:39" s="134" customFormat="1" x14ac:dyDescent="0.25">
      <c r="A28" s="138">
        <v>45</v>
      </c>
      <c r="B28" s="132"/>
      <c r="C28" s="195">
        <f t="shared" si="34"/>
        <v>44140</v>
      </c>
      <c r="D28" s="132" t="s">
        <v>35</v>
      </c>
      <c r="E28" s="195">
        <f t="shared" si="35"/>
        <v>44146</v>
      </c>
      <c r="F28" s="132"/>
      <c r="G28" s="135"/>
      <c r="H28" s="135"/>
      <c r="I28" s="135"/>
      <c r="J28" s="135"/>
      <c r="K28" s="135"/>
      <c r="L28" s="135"/>
      <c r="M28" s="70">
        <f t="shared" si="45"/>
        <v>0</v>
      </c>
      <c r="N28" s="70">
        <f t="shared" si="46"/>
        <v>0</v>
      </c>
      <c r="O28" s="70"/>
      <c r="P28" s="135"/>
      <c r="Q28" s="135"/>
      <c r="R28" s="135"/>
      <c r="S28" s="135"/>
      <c r="T28" s="70">
        <f t="shared" si="47"/>
        <v>0</v>
      </c>
      <c r="U28" s="70">
        <f t="shared" si="48"/>
        <v>0</v>
      </c>
      <c r="V28" s="70"/>
      <c r="W28" s="135"/>
      <c r="X28" s="135"/>
      <c r="Y28" s="135"/>
      <c r="Z28" s="135"/>
      <c r="AA28" s="70">
        <f t="shared" si="43"/>
        <v>0</v>
      </c>
      <c r="AB28" s="70">
        <f t="shared" si="44"/>
        <v>0</v>
      </c>
      <c r="AC28" s="70"/>
      <c r="AD28" s="135"/>
      <c r="AE28" s="135"/>
      <c r="AF28" s="70">
        <f t="shared" si="42"/>
        <v>0</v>
      </c>
      <c r="AH28" s="132">
        <f t="shared" si="33"/>
        <v>0</v>
      </c>
      <c r="AI28" s="134">
        <v>45</v>
      </c>
    </row>
    <row r="29" spans="1:39" s="134" customFormat="1" x14ac:dyDescent="0.25">
      <c r="A29" s="138">
        <v>46</v>
      </c>
      <c r="B29" s="132"/>
      <c r="C29" s="195">
        <f t="shared" si="34"/>
        <v>44147</v>
      </c>
      <c r="D29" s="132" t="s">
        <v>35</v>
      </c>
      <c r="E29" s="195">
        <f t="shared" si="35"/>
        <v>44153</v>
      </c>
      <c r="F29" s="132"/>
      <c r="G29" s="135"/>
      <c r="H29" s="135"/>
      <c r="I29" s="135"/>
      <c r="J29" s="135"/>
      <c r="K29" s="135"/>
      <c r="L29" s="135"/>
      <c r="M29" s="70">
        <f t="shared" si="45"/>
        <v>0</v>
      </c>
      <c r="N29" s="70">
        <f t="shared" si="46"/>
        <v>0</v>
      </c>
      <c r="O29" s="70"/>
      <c r="P29" s="135"/>
      <c r="Q29" s="135"/>
      <c r="R29" s="135"/>
      <c r="S29" s="135"/>
      <c r="T29" s="70">
        <f t="shared" si="47"/>
        <v>0</v>
      </c>
      <c r="U29" s="70">
        <f t="shared" si="48"/>
        <v>0</v>
      </c>
      <c r="V29" s="70"/>
      <c r="W29" s="135"/>
      <c r="X29" s="135"/>
      <c r="Y29" s="135"/>
      <c r="Z29" s="135"/>
      <c r="AA29" s="70">
        <f t="shared" si="43"/>
        <v>0</v>
      </c>
      <c r="AB29" s="70">
        <f t="shared" si="44"/>
        <v>0</v>
      </c>
      <c r="AC29" s="70"/>
      <c r="AD29" s="135"/>
      <c r="AE29" s="135"/>
      <c r="AF29" s="70">
        <f t="shared" si="42"/>
        <v>0</v>
      </c>
      <c r="AH29" s="132">
        <f t="shared" si="33"/>
        <v>0</v>
      </c>
      <c r="AI29" s="134">
        <v>46</v>
      </c>
    </row>
    <row r="30" spans="1:39" s="134" customFormat="1" x14ac:dyDescent="0.25">
      <c r="A30" s="138">
        <v>47</v>
      </c>
      <c r="B30" s="132"/>
      <c r="C30" s="195">
        <f t="shared" si="34"/>
        <v>44154</v>
      </c>
      <c r="D30" s="132" t="s">
        <v>35</v>
      </c>
      <c r="E30" s="195">
        <f t="shared" si="35"/>
        <v>44160</v>
      </c>
      <c r="F30" s="132"/>
      <c r="G30" s="135"/>
      <c r="H30" s="135"/>
      <c r="I30" s="135"/>
      <c r="J30" s="135"/>
      <c r="K30" s="135"/>
      <c r="L30" s="135"/>
      <c r="M30" s="70">
        <f t="shared" si="45"/>
        <v>0</v>
      </c>
      <c r="N30" s="70">
        <f t="shared" si="46"/>
        <v>0</v>
      </c>
      <c r="O30" s="70"/>
      <c r="P30" s="135"/>
      <c r="Q30" s="135"/>
      <c r="R30" s="135"/>
      <c r="S30" s="135"/>
      <c r="T30" s="70">
        <f t="shared" si="47"/>
        <v>0</v>
      </c>
      <c r="U30" s="70">
        <f t="shared" si="48"/>
        <v>0</v>
      </c>
      <c r="V30" s="70"/>
      <c r="W30" s="135"/>
      <c r="X30" s="135"/>
      <c r="Y30" s="135"/>
      <c r="Z30" s="135"/>
      <c r="AA30" s="70">
        <f t="shared" si="43"/>
        <v>0</v>
      </c>
      <c r="AB30" s="70">
        <f t="shared" si="44"/>
        <v>0</v>
      </c>
      <c r="AC30" s="70"/>
      <c r="AD30" s="135"/>
      <c r="AE30" s="135"/>
      <c r="AF30" s="70">
        <f t="shared" si="42"/>
        <v>0</v>
      </c>
      <c r="AH30" s="132">
        <f t="shared" si="33"/>
        <v>0</v>
      </c>
      <c r="AI30" s="134">
        <v>47</v>
      </c>
    </row>
    <row r="31" spans="1:39" s="134" customFormat="1" x14ac:dyDescent="0.25">
      <c r="A31" s="138">
        <v>48</v>
      </c>
      <c r="B31" s="132"/>
      <c r="C31" s="195">
        <f t="shared" si="34"/>
        <v>44161</v>
      </c>
      <c r="D31" s="132" t="s">
        <v>35</v>
      </c>
      <c r="E31" s="195">
        <f t="shared" si="35"/>
        <v>44167</v>
      </c>
      <c r="F31" s="132"/>
      <c r="G31" s="135"/>
      <c r="H31" s="135"/>
      <c r="I31" s="135"/>
      <c r="J31" s="135"/>
      <c r="K31" s="135"/>
      <c r="L31" s="135"/>
      <c r="M31" s="70">
        <f t="shared" si="45"/>
        <v>0</v>
      </c>
      <c r="N31" s="70">
        <f t="shared" si="46"/>
        <v>0</v>
      </c>
      <c r="O31" s="70"/>
      <c r="P31" s="135"/>
      <c r="Q31" s="135"/>
      <c r="R31" s="135"/>
      <c r="S31" s="135"/>
      <c r="T31" s="70">
        <f t="shared" si="47"/>
        <v>0</v>
      </c>
      <c r="U31" s="70">
        <f t="shared" si="48"/>
        <v>0</v>
      </c>
      <c r="V31" s="70"/>
      <c r="W31" s="135"/>
      <c r="X31" s="135"/>
      <c r="Y31" s="135"/>
      <c r="Z31" s="135"/>
      <c r="AA31" s="70">
        <f t="shared" si="43"/>
        <v>0</v>
      </c>
      <c r="AB31" s="70">
        <f t="shared" si="44"/>
        <v>0</v>
      </c>
      <c r="AC31" s="70"/>
      <c r="AD31" s="135"/>
      <c r="AE31" s="135"/>
      <c r="AF31" s="70">
        <f t="shared" si="42"/>
        <v>0</v>
      </c>
      <c r="AH31" s="132">
        <f t="shared" si="33"/>
        <v>0</v>
      </c>
      <c r="AI31" s="134">
        <v>48</v>
      </c>
    </row>
    <row r="32" spans="1:39" s="134" customFormat="1" x14ac:dyDescent="0.25">
      <c r="A32" s="138">
        <v>49</v>
      </c>
      <c r="B32" s="132"/>
      <c r="C32" s="195">
        <f t="shared" si="34"/>
        <v>44168</v>
      </c>
      <c r="D32" s="132" t="s">
        <v>35</v>
      </c>
      <c r="E32" s="195">
        <f t="shared" si="35"/>
        <v>44174</v>
      </c>
      <c r="F32" s="132"/>
      <c r="G32" s="135"/>
      <c r="H32" s="135"/>
      <c r="I32" s="135"/>
      <c r="J32" s="135"/>
      <c r="K32" s="135"/>
      <c r="L32" s="135"/>
      <c r="M32" s="70">
        <f t="shared" si="45"/>
        <v>0</v>
      </c>
      <c r="N32" s="70">
        <f t="shared" si="46"/>
        <v>0</v>
      </c>
      <c r="O32" s="70"/>
      <c r="P32" s="135"/>
      <c r="Q32" s="135"/>
      <c r="R32" s="135"/>
      <c r="S32" s="135"/>
      <c r="T32" s="70">
        <f t="shared" si="47"/>
        <v>0</v>
      </c>
      <c r="U32" s="70">
        <f t="shared" si="48"/>
        <v>0</v>
      </c>
      <c r="V32" s="70"/>
      <c r="W32" s="135"/>
      <c r="X32" s="135"/>
      <c r="Y32" s="135"/>
      <c r="Z32" s="135"/>
      <c r="AA32" s="70">
        <f t="shared" si="43"/>
        <v>0</v>
      </c>
      <c r="AB32" s="70">
        <f t="shared" si="44"/>
        <v>0</v>
      </c>
      <c r="AC32" s="70"/>
      <c r="AD32" s="135"/>
      <c r="AE32" s="135"/>
      <c r="AF32" s="70">
        <v>0</v>
      </c>
      <c r="AH32" s="132">
        <f t="shared" si="33"/>
        <v>0</v>
      </c>
      <c r="AI32" s="134">
        <v>49</v>
      </c>
    </row>
    <row r="33" spans="1:36" s="134" customFormat="1" x14ac:dyDescent="0.25">
      <c r="A33" s="138">
        <v>50</v>
      </c>
      <c r="B33" s="132"/>
      <c r="C33" s="195">
        <f t="shared" si="34"/>
        <v>44175</v>
      </c>
      <c r="D33" s="132" t="s">
        <v>35</v>
      </c>
      <c r="E33" s="195">
        <f t="shared" si="35"/>
        <v>44181</v>
      </c>
      <c r="F33" s="132"/>
      <c r="G33" s="135"/>
      <c r="H33" s="135"/>
      <c r="I33" s="135"/>
      <c r="J33" s="135"/>
      <c r="K33" s="135"/>
      <c r="L33" s="135"/>
      <c r="M33" s="70">
        <f t="shared" ref="M33" si="49">K33+I33</f>
        <v>0</v>
      </c>
      <c r="N33" s="70">
        <f t="shared" ref="N33" si="50">L33+J33</f>
        <v>0</v>
      </c>
      <c r="O33" s="70"/>
      <c r="P33" s="135"/>
      <c r="Q33" s="135"/>
      <c r="R33" s="135"/>
      <c r="S33" s="135"/>
      <c r="T33" s="70">
        <f t="shared" ref="T33" si="51">P33+R33</f>
        <v>0</v>
      </c>
      <c r="U33" s="70">
        <f t="shared" ref="U33" si="52">Q33+S33</f>
        <v>0</v>
      </c>
      <c r="V33" s="70"/>
      <c r="W33" s="135"/>
      <c r="X33" s="135"/>
      <c r="Y33" s="135"/>
      <c r="Z33" s="135"/>
      <c r="AA33" s="70">
        <f t="shared" ref="AA33" si="53">Y33+W33</f>
        <v>0</v>
      </c>
      <c r="AB33" s="70">
        <f t="shared" ref="AB33" si="54">Z33+X33</f>
        <v>0</v>
      </c>
      <c r="AC33" s="70"/>
      <c r="AD33" s="135"/>
      <c r="AE33" s="135"/>
      <c r="AF33" s="70">
        <f t="shared" ref="AF33" si="55">SUM(AD33:AE33)</f>
        <v>0</v>
      </c>
      <c r="AH33" s="132">
        <f t="shared" ref="AH33" si="56">AF33+AA33+T33+M33</f>
        <v>0</v>
      </c>
      <c r="AI33" s="134">
        <v>50</v>
      </c>
    </row>
    <row r="34" spans="1:36" s="134" customFormat="1" x14ac:dyDescent="0.25">
      <c r="A34" s="138">
        <v>51</v>
      </c>
      <c r="B34" s="132"/>
      <c r="C34" s="195">
        <f t="shared" si="34"/>
        <v>44182</v>
      </c>
      <c r="D34" s="132" t="s">
        <v>35</v>
      </c>
      <c r="E34" s="195">
        <f t="shared" si="35"/>
        <v>44188</v>
      </c>
      <c r="F34" s="132"/>
      <c r="G34" s="135"/>
      <c r="H34" s="135"/>
      <c r="I34" s="135"/>
      <c r="J34" s="135"/>
      <c r="K34" s="135"/>
      <c r="L34" s="135"/>
      <c r="M34" s="70">
        <f t="shared" si="45"/>
        <v>0</v>
      </c>
      <c r="N34" s="70">
        <f t="shared" si="46"/>
        <v>0</v>
      </c>
      <c r="O34" s="70"/>
      <c r="P34" s="135"/>
      <c r="Q34" s="135"/>
      <c r="R34" s="135"/>
      <c r="S34" s="135"/>
      <c r="T34" s="70">
        <f t="shared" si="47"/>
        <v>0</v>
      </c>
      <c r="U34" s="70">
        <f t="shared" si="48"/>
        <v>0</v>
      </c>
      <c r="V34" s="70"/>
      <c r="W34" s="135"/>
      <c r="X34" s="135"/>
      <c r="Y34" s="135"/>
      <c r="Z34" s="135"/>
      <c r="AA34" s="70">
        <f t="shared" si="43"/>
        <v>0</v>
      </c>
      <c r="AB34" s="70">
        <f t="shared" si="44"/>
        <v>0</v>
      </c>
      <c r="AC34" s="70"/>
      <c r="AD34" s="135"/>
      <c r="AE34" s="135"/>
      <c r="AF34" s="70">
        <f t="shared" si="42"/>
        <v>0</v>
      </c>
      <c r="AH34" s="132">
        <f t="shared" si="33"/>
        <v>0</v>
      </c>
      <c r="AI34" s="134">
        <v>51</v>
      </c>
    </row>
    <row r="35" spans="1:36" s="131" customFormat="1" ht="7.95" customHeight="1" x14ac:dyDescent="0.25">
      <c r="A35" s="138"/>
      <c r="B35" s="132"/>
      <c r="C35" s="195"/>
      <c r="D35" s="198"/>
      <c r="E35" s="195"/>
      <c r="F35" s="132"/>
      <c r="G35" s="70"/>
      <c r="H35" s="70"/>
      <c r="I35" s="70"/>
      <c r="J35" s="70"/>
      <c r="K35" s="70"/>
      <c r="L35" s="70"/>
      <c r="M35" s="70"/>
      <c r="N35" s="70"/>
      <c r="O35" s="135"/>
      <c r="P35" s="135"/>
      <c r="Q35" s="135"/>
      <c r="R35" s="135"/>
      <c r="S35" s="135"/>
      <c r="T35" s="70"/>
      <c r="U35" s="70"/>
      <c r="V35" s="135"/>
      <c r="W35" s="70"/>
      <c r="X35" s="70"/>
      <c r="Y35" s="70"/>
      <c r="Z35" s="70"/>
      <c r="AA35" s="70"/>
      <c r="AB35" s="70"/>
      <c r="AC35" s="135"/>
      <c r="AD35" s="70"/>
      <c r="AE35" s="70"/>
      <c r="AF35" s="135"/>
      <c r="AG35" s="134"/>
      <c r="AH35" s="132"/>
      <c r="AI35" s="134"/>
      <c r="AJ35" s="134"/>
    </row>
    <row r="36" spans="1:36" s="194" customFormat="1" x14ac:dyDescent="0.25">
      <c r="A36" s="138"/>
      <c r="B36" s="138"/>
      <c r="C36" s="142"/>
      <c r="D36" s="143"/>
      <c r="E36" s="144" t="s">
        <v>143</v>
      </c>
      <c r="F36" s="68"/>
      <c r="G36" s="68">
        <f>SUM(G5:G34)</f>
        <v>66</v>
      </c>
      <c r="H36" s="68"/>
      <c r="I36" s="68">
        <f t="shared" ref="I36:AF36" si="57">SUM(I5:I34)</f>
        <v>104</v>
      </c>
      <c r="J36" s="68">
        <f t="shared" si="57"/>
        <v>2</v>
      </c>
      <c r="K36" s="261">
        <f t="shared" si="57"/>
        <v>2302</v>
      </c>
      <c r="L36" s="68">
        <f t="shared" si="57"/>
        <v>108</v>
      </c>
      <c r="M36" s="261">
        <f t="shared" si="57"/>
        <v>2406</v>
      </c>
      <c r="N36" s="68">
        <f t="shared" si="57"/>
        <v>110</v>
      </c>
      <c r="O36" s="68"/>
      <c r="P36" s="68">
        <f t="shared" si="57"/>
        <v>0</v>
      </c>
      <c r="Q36" s="68">
        <f t="shared" si="57"/>
        <v>0</v>
      </c>
      <c r="R36" s="68">
        <f t="shared" si="57"/>
        <v>0</v>
      </c>
      <c r="S36" s="68">
        <f t="shared" si="57"/>
        <v>0</v>
      </c>
      <c r="T36" s="68">
        <f t="shared" si="57"/>
        <v>0</v>
      </c>
      <c r="U36" s="68">
        <f t="shared" si="57"/>
        <v>0</v>
      </c>
      <c r="V36" s="68"/>
      <c r="W36" s="68">
        <f t="shared" si="57"/>
        <v>0</v>
      </c>
      <c r="X36" s="68">
        <f t="shared" si="57"/>
        <v>0</v>
      </c>
      <c r="Y36" s="68">
        <f t="shared" si="57"/>
        <v>113</v>
      </c>
      <c r="Z36" s="68">
        <f t="shared" si="57"/>
        <v>13</v>
      </c>
      <c r="AA36" s="68">
        <f t="shared" si="57"/>
        <v>113</v>
      </c>
      <c r="AB36" s="68">
        <f t="shared" si="57"/>
        <v>13</v>
      </c>
      <c r="AC36" s="68"/>
      <c r="AD36" s="68">
        <f t="shared" si="57"/>
        <v>4</v>
      </c>
      <c r="AE36" s="68">
        <f t="shared" si="57"/>
        <v>18</v>
      </c>
      <c r="AF36" s="68">
        <f t="shared" si="57"/>
        <v>22</v>
      </c>
      <c r="AG36" s="68"/>
      <c r="AH36" s="261">
        <f t="shared" si="33"/>
        <v>2541</v>
      </c>
      <c r="AI36" s="131"/>
      <c r="AJ36" s="131"/>
    </row>
    <row r="37" spans="1:36" s="194" customFormat="1" x14ac:dyDescent="0.25">
      <c r="A37" s="145"/>
      <c r="B37" s="68"/>
      <c r="C37" s="146"/>
      <c r="D37" s="147"/>
      <c r="E37" s="14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130"/>
      <c r="AH37" s="132"/>
    </row>
    <row r="38" spans="1:36" s="194" customFormat="1" ht="15.6" x14ac:dyDescent="0.25">
      <c r="A38" s="128" t="s">
        <v>136</v>
      </c>
      <c r="B38" s="70"/>
      <c r="C38" s="196"/>
      <c r="D38" s="141"/>
      <c r="E38" s="197"/>
      <c r="F38" s="70"/>
      <c r="G38" s="70">
        <v>109</v>
      </c>
      <c r="H38" s="70"/>
      <c r="I38" s="70">
        <v>192</v>
      </c>
      <c r="J38" s="70">
        <v>1</v>
      </c>
      <c r="K38" s="149">
        <v>1658</v>
      </c>
      <c r="L38" s="70">
        <v>313</v>
      </c>
      <c r="M38" s="149">
        <v>1848</v>
      </c>
      <c r="N38" s="70">
        <v>314</v>
      </c>
      <c r="O38" s="70"/>
      <c r="P38" s="70">
        <v>16</v>
      </c>
      <c r="Q38" s="70">
        <v>16</v>
      </c>
      <c r="R38" s="70">
        <v>357</v>
      </c>
      <c r="S38" s="70">
        <v>337</v>
      </c>
      <c r="T38" s="70">
        <v>373</v>
      </c>
      <c r="U38" s="70">
        <v>353</v>
      </c>
      <c r="V38" s="70"/>
      <c r="W38" s="70">
        <v>4</v>
      </c>
      <c r="X38" s="70">
        <v>0</v>
      </c>
      <c r="Y38" s="70">
        <v>218</v>
      </c>
      <c r="Z38" s="70">
        <v>110</v>
      </c>
      <c r="AA38" s="70">
        <v>222</v>
      </c>
      <c r="AB38" s="70">
        <v>110</v>
      </c>
      <c r="AC38" s="70"/>
      <c r="AD38" s="70">
        <v>0</v>
      </c>
      <c r="AE38" s="70">
        <v>11</v>
      </c>
      <c r="AF38" s="70">
        <v>11</v>
      </c>
      <c r="AG38" s="130"/>
      <c r="AH38" s="262">
        <f t="shared" si="33"/>
        <v>2454</v>
      </c>
    </row>
    <row r="39" spans="1:36" s="194" customFormat="1" ht="15.6" x14ac:dyDescent="0.25">
      <c r="A39" s="128" t="s">
        <v>126</v>
      </c>
      <c r="B39" s="70"/>
      <c r="C39" s="196"/>
      <c r="D39" s="141"/>
      <c r="E39" s="197"/>
      <c r="F39" s="70"/>
      <c r="G39" s="70">
        <v>73</v>
      </c>
      <c r="H39" s="70"/>
      <c r="I39" s="70">
        <v>91</v>
      </c>
      <c r="J39" s="70">
        <v>10</v>
      </c>
      <c r="K39" s="70">
        <v>320</v>
      </c>
      <c r="L39" s="70">
        <v>58</v>
      </c>
      <c r="M39" s="70">
        <v>411</v>
      </c>
      <c r="N39" s="70">
        <v>68</v>
      </c>
      <c r="O39" s="70"/>
      <c r="P39" s="70">
        <v>4</v>
      </c>
      <c r="Q39" s="70">
        <v>4</v>
      </c>
      <c r="R39" s="70">
        <v>0</v>
      </c>
      <c r="S39" s="70">
        <v>0</v>
      </c>
      <c r="T39" s="70">
        <v>4</v>
      </c>
      <c r="U39" s="70">
        <v>4</v>
      </c>
      <c r="V39" s="70"/>
      <c r="W39" s="70">
        <v>5</v>
      </c>
      <c r="X39" s="70">
        <v>3</v>
      </c>
      <c r="Y39" s="70">
        <v>73</v>
      </c>
      <c r="Z39" s="70">
        <v>12</v>
      </c>
      <c r="AA39" s="70">
        <v>78</v>
      </c>
      <c r="AB39" s="70">
        <v>15</v>
      </c>
      <c r="AC39" s="70"/>
      <c r="AD39" s="70">
        <v>0</v>
      </c>
      <c r="AE39" s="70">
        <v>14</v>
      </c>
      <c r="AF39" s="70">
        <v>14</v>
      </c>
      <c r="AG39" s="130"/>
      <c r="AH39" s="262">
        <f t="shared" si="33"/>
        <v>507</v>
      </c>
    </row>
    <row r="40" spans="1:36" s="134" customFormat="1" ht="15.6" x14ac:dyDescent="0.25">
      <c r="A40" s="128" t="s">
        <v>113</v>
      </c>
      <c r="B40" s="70"/>
      <c r="C40" s="196"/>
      <c r="D40" s="141"/>
      <c r="E40" s="197"/>
      <c r="F40" s="70"/>
      <c r="G40" s="70">
        <v>50</v>
      </c>
      <c r="H40" s="70"/>
      <c r="I40" s="70">
        <v>76</v>
      </c>
      <c r="J40" s="70">
        <v>6</v>
      </c>
      <c r="K40" s="70">
        <v>470</v>
      </c>
      <c r="L40" s="70">
        <v>98</v>
      </c>
      <c r="M40" s="70">
        <v>546</v>
      </c>
      <c r="N40" s="70">
        <v>104</v>
      </c>
      <c r="O40" s="70"/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0"/>
      <c r="W40" s="70">
        <v>2</v>
      </c>
      <c r="X40" s="70">
        <v>0</v>
      </c>
      <c r="Y40" s="70">
        <v>118</v>
      </c>
      <c r="Z40" s="70">
        <v>17</v>
      </c>
      <c r="AA40" s="70">
        <v>120</v>
      </c>
      <c r="AB40" s="70">
        <v>17</v>
      </c>
      <c r="AC40" s="70"/>
      <c r="AD40" s="70">
        <v>9</v>
      </c>
      <c r="AE40" s="70">
        <v>14</v>
      </c>
      <c r="AF40" s="70">
        <v>23</v>
      </c>
      <c r="AG40" s="130"/>
      <c r="AH40" s="262">
        <f t="shared" si="33"/>
        <v>689</v>
      </c>
      <c r="AI40" s="194"/>
      <c r="AJ40" s="194"/>
    </row>
    <row r="41" spans="1:36" s="131" customFormat="1" ht="15.6" x14ac:dyDescent="0.25">
      <c r="A41" s="128" t="s">
        <v>103</v>
      </c>
      <c r="B41" s="70"/>
      <c r="C41" s="196"/>
      <c r="D41" s="141"/>
      <c r="E41" s="129"/>
      <c r="F41" s="70"/>
      <c r="G41" s="149">
        <v>72</v>
      </c>
      <c r="H41" s="149"/>
      <c r="I41" s="149">
        <v>37</v>
      </c>
      <c r="J41" s="149">
        <v>4</v>
      </c>
      <c r="K41" s="149">
        <v>1042</v>
      </c>
      <c r="L41" s="149">
        <v>185</v>
      </c>
      <c r="M41" s="149">
        <f>I41+K41</f>
        <v>1079</v>
      </c>
      <c r="N41" s="149">
        <f>J41+L41</f>
        <v>189</v>
      </c>
      <c r="O41" s="149"/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/>
      <c r="W41" s="149">
        <v>2</v>
      </c>
      <c r="X41" s="149">
        <v>0</v>
      </c>
      <c r="Y41" s="149">
        <v>64</v>
      </c>
      <c r="Z41" s="149">
        <v>26</v>
      </c>
      <c r="AA41" s="149">
        <f>W41+Y41</f>
        <v>66</v>
      </c>
      <c r="AB41" s="149">
        <f>X41+Z41</f>
        <v>26</v>
      </c>
      <c r="AC41" s="149"/>
      <c r="AD41" s="149">
        <v>2</v>
      </c>
      <c r="AE41" s="149">
        <v>16</v>
      </c>
      <c r="AF41" s="149">
        <v>20</v>
      </c>
      <c r="AG41" s="130"/>
      <c r="AH41" s="262">
        <f t="shared" si="33"/>
        <v>1165</v>
      </c>
      <c r="AI41" s="134"/>
      <c r="AJ41" s="134"/>
    </row>
    <row r="42" spans="1:36" s="131" customFormat="1" ht="15.6" x14ac:dyDescent="0.25">
      <c r="A42" s="128" t="s">
        <v>81</v>
      </c>
      <c r="B42" s="129"/>
      <c r="C42" s="129"/>
      <c r="D42" s="129"/>
      <c r="E42" s="129"/>
      <c r="G42" s="149">
        <v>48</v>
      </c>
      <c r="H42" s="149"/>
      <c r="I42" s="149">
        <v>58</v>
      </c>
      <c r="J42" s="149">
        <v>7</v>
      </c>
      <c r="K42" s="149">
        <v>150</v>
      </c>
      <c r="L42" s="149">
        <v>19</v>
      </c>
      <c r="M42" s="149">
        <v>208</v>
      </c>
      <c r="N42" s="149">
        <v>26</v>
      </c>
      <c r="O42" s="149"/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/>
      <c r="W42" s="149">
        <v>3</v>
      </c>
      <c r="X42" s="149">
        <v>0</v>
      </c>
      <c r="Y42" s="149">
        <v>49</v>
      </c>
      <c r="Z42" s="149">
        <v>24</v>
      </c>
      <c r="AA42" s="149">
        <v>52</v>
      </c>
      <c r="AB42" s="149">
        <v>24</v>
      </c>
      <c r="AC42" s="149"/>
      <c r="AD42" s="149">
        <v>2</v>
      </c>
      <c r="AE42" s="149">
        <v>7</v>
      </c>
      <c r="AF42" s="149">
        <v>9</v>
      </c>
      <c r="AH42" s="262">
        <f t="shared" si="33"/>
        <v>269</v>
      </c>
    </row>
    <row r="43" spans="1:36" s="131" customFormat="1" ht="15.6" x14ac:dyDescent="0.25">
      <c r="A43" s="128" t="s">
        <v>88</v>
      </c>
      <c r="B43" s="129"/>
      <c r="C43" s="129"/>
      <c r="D43" s="129"/>
      <c r="E43" s="129"/>
      <c r="G43" s="149">
        <v>52</v>
      </c>
      <c r="H43" s="149"/>
      <c r="I43" s="149">
        <v>45</v>
      </c>
      <c r="J43" s="149">
        <v>9</v>
      </c>
      <c r="K43" s="149">
        <v>109</v>
      </c>
      <c r="L43" s="149">
        <v>13</v>
      </c>
      <c r="M43" s="149">
        <v>154</v>
      </c>
      <c r="N43" s="149">
        <v>22</v>
      </c>
      <c r="O43" s="149"/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/>
      <c r="W43" s="149">
        <v>4</v>
      </c>
      <c r="X43" s="149">
        <v>0</v>
      </c>
      <c r="Y43" s="149">
        <v>59</v>
      </c>
      <c r="Z43" s="149">
        <v>41</v>
      </c>
      <c r="AA43" s="149">
        <v>63</v>
      </c>
      <c r="AB43" s="149">
        <v>41</v>
      </c>
      <c r="AC43" s="149"/>
      <c r="AD43" s="149">
        <v>1</v>
      </c>
      <c r="AE43" s="149">
        <v>9</v>
      </c>
      <c r="AF43" s="149">
        <v>10</v>
      </c>
      <c r="AH43" s="262">
        <f t="shared" si="33"/>
        <v>227</v>
      </c>
    </row>
    <row r="44" spans="1:36" s="134" customFormat="1" ht="15.6" x14ac:dyDescent="0.25">
      <c r="A44" s="128" t="s">
        <v>89</v>
      </c>
      <c r="B44" s="129"/>
      <c r="C44" s="129"/>
      <c r="D44" s="129"/>
      <c r="E44" s="129"/>
      <c r="F44" s="131"/>
      <c r="G44" s="261">
        <v>49</v>
      </c>
      <c r="H44" s="261"/>
      <c r="I44" s="261">
        <v>21</v>
      </c>
      <c r="J44" s="261">
        <v>3</v>
      </c>
      <c r="K44" s="261">
        <v>322</v>
      </c>
      <c r="L44" s="261">
        <v>54</v>
      </c>
      <c r="M44" s="261">
        <v>343</v>
      </c>
      <c r="N44" s="261">
        <v>57</v>
      </c>
      <c r="O44" s="261"/>
      <c r="P44" s="261">
        <v>0</v>
      </c>
      <c r="Q44" s="261">
        <v>0</v>
      </c>
      <c r="R44" s="261">
        <v>0</v>
      </c>
      <c r="S44" s="261">
        <v>0</v>
      </c>
      <c r="T44" s="261">
        <v>0</v>
      </c>
      <c r="U44" s="261">
        <v>0</v>
      </c>
      <c r="V44" s="261"/>
      <c r="W44" s="261">
        <v>2</v>
      </c>
      <c r="X44" s="261">
        <v>0</v>
      </c>
      <c r="Y44" s="261">
        <v>54</v>
      </c>
      <c r="Z44" s="261">
        <v>5</v>
      </c>
      <c r="AA44" s="261">
        <v>56</v>
      </c>
      <c r="AB44" s="261">
        <v>5</v>
      </c>
      <c r="AC44" s="261"/>
      <c r="AD44" s="261">
        <v>12</v>
      </c>
      <c r="AE44" s="261">
        <v>57</v>
      </c>
      <c r="AF44" s="261">
        <v>69</v>
      </c>
      <c r="AG44" s="131"/>
      <c r="AH44" s="262">
        <f t="shared" si="33"/>
        <v>468</v>
      </c>
      <c r="AI44" s="131"/>
      <c r="AJ44" s="131"/>
    </row>
    <row r="45" spans="1:36" s="134" customFormat="1" x14ac:dyDescent="0.25">
      <c r="A45" s="128"/>
      <c r="B45" s="129"/>
      <c r="C45" s="129"/>
      <c r="D45" s="129"/>
      <c r="E45" s="129" t="s">
        <v>138</v>
      </c>
      <c r="F45" s="131"/>
      <c r="G45" s="149">
        <f>AVERAGE(G38:G44)</f>
        <v>64.714285714285708</v>
      </c>
      <c r="H45" s="149"/>
      <c r="I45" s="149">
        <f t="shared" ref="I45:AF45" si="58">AVERAGE(I38:I44)</f>
        <v>74.285714285714292</v>
      </c>
      <c r="J45" s="149">
        <f t="shared" si="58"/>
        <v>5.7142857142857144</v>
      </c>
      <c r="K45" s="149">
        <f t="shared" si="58"/>
        <v>581.57142857142856</v>
      </c>
      <c r="L45" s="149">
        <f t="shared" si="58"/>
        <v>105.71428571428571</v>
      </c>
      <c r="M45" s="149">
        <f t="shared" si="58"/>
        <v>655.57142857142856</v>
      </c>
      <c r="N45" s="149">
        <f t="shared" si="58"/>
        <v>111.42857142857143</v>
      </c>
      <c r="O45" s="149"/>
      <c r="P45" s="149">
        <f t="shared" si="58"/>
        <v>2.8571428571428572</v>
      </c>
      <c r="Q45" s="149">
        <f t="shared" si="58"/>
        <v>2.8571428571428572</v>
      </c>
      <c r="R45" s="149">
        <f t="shared" si="58"/>
        <v>51</v>
      </c>
      <c r="S45" s="149">
        <f t="shared" si="58"/>
        <v>48.142857142857146</v>
      </c>
      <c r="T45" s="149">
        <f t="shared" si="58"/>
        <v>53.857142857142854</v>
      </c>
      <c r="U45" s="149">
        <f t="shared" si="58"/>
        <v>51</v>
      </c>
      <c r="V45" s="149"/>
      <c r="W45" s="149">
        <f t="shared" si="58"/>
        <v>3.1428571428571428</v>
      </c>
      <c r="X45" s="149">
        <f t="shared" si="58"/>
        <v>0.42857142857142855</v>
      </c>
      <c r="Y45" s="149">
        <f t="shared" si="58"/>
        <v>90.714285714285708</v>
      </c>
      <c r="Z45" s="149">
        <f t="shared" si="58"/>
        <v>33.571428571428569</v>
      </c>
      <c r="AA45" s="149">
        <f t="shared" si="58"/>
        <v>93.857142857142861</v>
      </c>
      <c r="AB45" s="149">
        <f t="shared" si="58"/>
        <v>34</v>
      </c>
      <c r="AC45" s="149"/>
      <c r="AD45" s="149">
        <f t="shared" si="58"/>
        <v>3.7142857142857144</v>
      </c>
      <c r="AE45" s="149">
        <f t="shared" si="58"/>
        <v>18.285714285714285</v>
      </c>
      <c r="AF45" s="149">
        <f t="shared" si="58"/>
        <v>22.285714285714285</v>
      </c>
      <c r="AG45" s="131"/>
      <c r="AH45" s="262"/>
      <c r="AI45" s="131"/>
      <c r="AJ45" s="131"/>
    </row>
    <row r="46" spans="1:36" s="134" customFormat="1" x14ac:dyDescent="0.25">
      <c r="A46" s="132" t="s">
        <v>36</v>
      </c>
      <c r="B46" s="132"/>
      <c r="C46" s="133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H46" s="132"/>
    </row>
    <row r="47" spans="1:36" s="134" customFormat="1" x14ac:dyDescent="0.25">
      <c r="A47" s="133" t="s">
        <v>37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H47" s="132"/>
    </row>
    <row r="48" spans="1:36" s="134" customFormat="1" x14ac:dyDescent="0.25">
      <c r="A48" s="133" t="s">
        <v>75</v>
      </c>
      <c r="B48" s="133"/>
      <c r="C48" s="133"/>
      <c r="D48" s="133"/>
      <c r="E48" s="133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5"/>
      <c r="Z48" s="135"/>
      <c r="AA48" s="132"/>
      <c r="AB48" s="132"/>
      <c r="AC48" s="132"/>
      <c r="AD48" s="132"/>
      <c r="AH48" s="132"/>
    </row>
    <row r="49" spans="1:36" s="134" customFormat="1" x14ac:dyDescent="0.25">
      <c r="A49" s="133" t="s">
        <v>38</v>
      </c>
      <c r="B49" s="133"/>
      <c r="C49" s="133"/>
      <c r="D49" s="133"/>
      <c r="E49" s="133"/>
      <c r="AH49" s="132"/>
    </row>
    <row r="50" spans="1:36" x14ac:dyDescent="0.25">
      <c r="A50" s="133" t="s">
        <v>39</v>
      </c>
      <c r="B50" s="133"/>
      <c r="C50" s="133"/>
      <c r="D50" s="133"/>
      <c r="E50" s="133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2"/>
      <c r="AI50" s="134"/>
      <c r="AJ50" s="134"/>
    </row>
    <row r="51" spans="1:36" x14ac:dyDescent="0.25">
      <c r="A51" s="278" t="s">
        <v>139</v>
      </c>
      <c r="B51" s="278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</row>
    <row r="52" spans="1:36" x14ac:dyDescent="0.25">
      <c r="B52" s="71"/>
      <c r="C52" s="71"/>
      <c r="D52" s="71"/>
      <c r="E52" s="71"/>
      <c r="F52" s="199"/>
    </row>
    <row r="54" spans="1:36" x14ac:dyDescent="0.25">
      <c r="K54" s="200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0"/>
  <sheetViews>
    <sheetView zoomScale="120" zoomScaleNormal="120" workbookViewId="0">
      <selection activeCell="A5" sqref="A5:A14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0" customFormat="1" ht="15.6" x14ac:dyDescent="0.25">
      <c r="A1" s="150" t="s">
        <v>140</v>
      </c>
      <c r="C1" s="151"/>
    </row>
    <row r="2" spans="1:34" s="150" customFormat="1" x14ac:dyDescent="0.25">
      <c r="I2" s="152" t="s">
        <v>17</v>
      </c>
      <c r="J2" s="152"/>
      <c r="K2" s="152"/>
      <c r="L2" s="152"/>
      <c r="M2" s="152"/>
      <c r="N2" s="152"/>
      <c r="O2" s="153"/>
      <c r="P2" s="152" t="s">
        <v>18</v>
      </c>
      <c r="Q2" s="152"/>
      <c r="R2" s="152"/>
      <c r="S2" s="152"/>
      <c r="T2" s="152"/>
      <c r="U2" s="152"/>
      <c r="W2" s="152" t="s">
        <v>19</v>
      </c>
      <c r="X2" s="152"/>
      <c r="Y2" s="152"/>
      <c r="Z2" s="152"/>
      <c r="AA2" s="152"/>
      <c r="AB2" s="152"/>
    </row>
    <row r="3" spans="1:34" s="150" customFormat="1" ht="15.6" x14ac:dyDescent="0.25">
      <c r="A3" s="150" t="s">
        <v>20</v>
      </c>
      <c r="G3" s="154" t="s">
        <v>21</v>
      </c>
      <c r="I3" s="155" t="s">
        <v>22</v>
      </c>
      <c r="J3" s="155"/>
      <c r="K3" s="155" t="s">
        <v>23</v>
      </c>
      <c r="L3" s="155"/>
      <c r="M3" s="155" t="s">
        <v>24</v>
      </c>
      <c r="N3" s="155"/>
      <c r="P3" s="155" t="s">
        <v>22</v>
      </c>
      <c r="Q3" s="155"/>
      <c r="R3" s="155" t="s">
        <v>23</v>
      </c>
      <c r="S3" s="155"/>
      <c r="T3" s="155" t="s">
        <v>24</v>
      </c>
      <c r="U3" s="155"/>
      <c r="W3" s="155" t="s">
        <v>40</v>
      </c>
      <c r="X3" s="155"/>
      <c r="Y3" s="155" t="s">
        <v>23</v>
      </c>
      <c r="Z3" s="155"/>
      <c r="AA3" s="155" t="s">
        <v>24</v>
      </c>
      <c r="AB3" s="155"/>
      <c r="AE3" s="281" t="s">
        <v>119</v>
      </c>
      <c r="AF3" s="281" t="s">
        <v>120</v>
      </c>
      <c r="AG3" s="281" t="s">
        <v>121</v>
      </c>
    </row>
    <row r="4" spans="1:34" s="150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29</v>
      </c>
      <c r="H4" s="157"/>
      <c r="I4" s="157" t="s">
        <v>30</v>
      </c>
      <c r="J4" s="157" t="s">
        <v>133</v>
      </c>
      <c r="K4" s="157" t="s">
        <v>30</v>
      </c>
      <c r="L4" s="157" t="s">
        <v>31</v>
      </c>
      <c r="M4" s="157" t="s">
        <v>30</v>
      </c>
      <c r="N4" s="157" t="s">
        <v>31</v>
      </c>
      <c r="O4" s="157"/>
      <c r="P4" s="157" t="s">
        <v>30</v>
      </c>
      <c r="Q4" s="157" t="s">
        <v>32</v>
      </c>
      <c r="R4" s="157" t="s">
        <v>30</v>
      </c>
      <c r="S4" s="157" t="s">
        <v>32</v>
      </c>
      <c r="T4" s="157" t="s">
        <v>30</v>
      </c>
      <c r="U4" s="157" t="s">
        <v>32</v>
      </c>
      <c r="V4" s="157"/>
      <c r="W4" s="157" t="s">
        <v>30</v>
      </c>
      <c r="X4" s="157" t="s">
        <v>31</v>
      </c>
      <c r="Y4" s="157" t="s">
        <v>30</v>
      </c>
      <c r="Z4" s="157" t="s">
        <v>31</v>
      </c>
      <c r="AA4" s="157" t="s">
        <v>30</v>
      </c>
      <c r="AB4" s="157" t="s">
        <v>31</v>
      </c>
      <c r="AD4" s="24" t="s">
        <v>106</v>
      </c>
      <c r="AE4" s="281"/>
      <c r="AF4" s="281"/>
      <c r="AG4" s="281"/>
      <c r="AH4" s="150" t="s">
        <v>135</v>
      </c>
    </row>
    <row r="5" spans="1:34" s="33" customFormat="1" x14ac:dyDescent="0.25">
      <c r="A5" s="162">
        <v>37</v>
      </c>
      <c r="B5" s="162"/>
      <c r="C5" s="159">
        <v>44084</v>
      </c>
      <c r="D5" s="161" t="s">
        <v>41</v>
      </c>
      <c r="E5" s="159">
        <f t="shared" ref="E5:E7" si="0">C5+6</f>
        <v>44090</v>
      </c>
      <c r="F5" s="162"/>
      <c r="G5" s="24"/>
      <c r="H5" s="154"/>
      <c r="I5" s="191"/>
      <c r="J5" s="191"/>
      <c r="K5" s="191"/>
      <c r="L5" s="191"/>
      <c r="M5" s="24">
        <f t="shared" ref="M5:M7" si="1">I5+K5</f>
        <v>0</v>
      </c>
      <c r="N5" s="24">
        <f t="shared" ref="N5:N7" si="2">J5+L5</f>
        <v>0</v>
      </c>
      <c r="O5" s="154"/>
      <c r="P5" s="191"/>
      <c r="Q5" s="191"/>
      <c r="R5" s="191"/>
      <c r="S5" s="191"/>
      <c r="T5" s="24">
        <f t="shared" ref="T5:T7" si="3">P5+R5</f>
        <v>0</v>
      </c>
      <c r="U5" s="24">
        <f t="shared" ref="U5:U7" si="4">Q5+S5</f>
        <v>0</v>
      </c>
      <c r="V5" s="154"/>
      <c r="W5" s="249"/>
      <c r="X5" s="249"/>
      <c r="Y5" s="249"/>
      <c r="Z5" s="249"/>
      <c r="AA5" s="160">
        <f t="shared" ref="AA5:AA7" si="5">W5+Y5</f>
        <v>0</v>
      </c>
      <c r="AB5" s="160">
        <f t="shared" ref="AB5:AB7" si="6">X5+Z5</f>
        <v>0</v>
      </c>
      <c r="AD5" s="192">
        <f t="shared" ref="AD5:AD16" si="7">SUM(AA5,T5,M5)</f>
        <v>0</v>
      </c>
      <c r="AE5" s="237" t="e">
        <f>N5/M5</f>
        <v>#DIV/0!</v>
      </c>
      <c r="AF5" s="237" t="e">
        <f>U5/T5</f>
        <v>#DIV/0!</v>
      </c>
      <c r="AG5" s="237" t="e">
        <f>AB5/AA5</f>
        <v>#DIV/0!</v>
      </c>
      <c r="AH5" s="250" t="e">
        <f t="shared" ref="AH5:AH23" si="8">AD5/G5</f>
        <v>#DIV/0!</v>
      </c>
    </row>
    <row r="6" spans="1:34" s="33" customFormat="1" x14ac:dyDescent="0.25">
      <c r="A6" s="162">
        <v>38</v>
      </c>
      <c r="B6" s="162"/>
      <c r="C6" s="159">
        <f>C5+7</f>
        <v>44091</v>
      </c>
      <c r="D6" s="161" t="s">
        <v>41</v>
      </c>
      <c r="E6" s="159">
        <f t="shared" si="0"/>
        <v>44097</v>
      </c>
      <c r="F6" s="162"/>
      <c r="G6" s="24"/>
      <c r="H6" s="154"/>
      <c r="I6" s="191"/>
      <c r="J6" s="191"/>
      <c r="K6" s="191"/>
      <c r="L6" s="191"/>
      <c r="M6" s="24">
        <f t="shared" si="1"/>
        <v>0</v>
      </c>
      <c r="N6" s="24">
        <f t="shared" si="2"/>
        <v>0</v>
      </c>
      <c r="O6" s="154"/>
      <c r="P6" s="191"/>
      <c r="Q6" s="191"/>
      <c r="R6" s="191"/>
      <c r="S6" s="191"/>
      <c r="T6" s="24">
        <f t="shared" si="3"/>
        <v>0</v>
      </c>
      <c r="U6" s="24">
        <f t="shared" si="4"/>
        <v>0</v>
      </c>
      <c r="V6" s="154"/>
      <c r="W6" s="249"/>
      <c r="X6" s="249"/>
      <c r="Y6" s="249"/>
      <c r="Z6" s="249"/>
      <c r="AA6" s="160">
        <f t="shared" si="5"/>
        <v>0</v>
      </c>
      <c r="AB6" s="160">
        <f t="shared" si="6"/>
        <v>0</v>
      </c>
      <c r="AD6" s="192">
        <f t="shared" si="7"/>
        <v>0</v>
      </c>
      <c r="AE6" s="237" t="e">
        <f t="shared" ref="AE6:AE7" si="9">N6/M6</f>
        <v>#DIV/0!</v>
      </c>
      <c r="AF6" s="237" t="e">
        <f t="shared" ref="AF6:AF7" si="10">U6/T6</f>
        <v>#DIV/0!</v>
      </c>
      <c r="AG6" s="237" t="e">
        <f t="shared" ref="AG6:AG7" si="11">AB6/AA6</f>
        <v>#DIV/0!</v>
      </c>
      <c r="AH6" s="250" t="e">
        <f t="shared" si="8"/>
        <v>#DIV/0!</v>
      </c>
    </row>
    <row r="7" spans="1:34" s="33" customFormat="1" x14ac:dyDescent="0.25">
      <c r="A7" s="162">
        <v>39</v>
      </c>
      <c r="B7" s="162"/>
      <c r="C7" s="159">
        <f t="shared" ref="C7:C14" si="12">C6+7</f>
        <v>44098</v>
      </c>
      <c r="D7" s="161" t="s">
        <v>41</v>
      </c>
      <c r="E7" s="159">
        <f t="shared" si="0"/>
        <v>44104</v>
      </c>
      <c r="F7" s="162"/>
      <c r="G7" s="24"/>
      <c r="H7" s="154"/>
      <c r="I7" s="191"/>
      <c r="J7" s="191"/>
      <c r="K7" s="191"/>
      <c r="L7" s="191"/>
      <c r="M7" s="24">
        <f t="shared" si="1"/>
        <v>0</v>
      </c>
      <c r="N7" s="24">
        <f t="shared" si="2"/>
        <v>0</v>
      </c>
      <c r="O7" s="154"/>
      <c r="P7" s="191"/>
      <c r="Q7" s="191"/>
      <c r="R7" s="191"/>
      <c r="S7" s="191"/>
      <c r="T7" s="24">
        <f t="shared" si="3"/>
        <v>0</v>
      </c>
      <c r="U7" s="24">
        <f t="shared" si="4"/>
        <v>0</v>
      </c>
      <c r="V7" s="154"/>
      <c r="W7" s="249"/>
      <c r="X7" s="249"/>
      <c r="Y7" s="249"/>
      <c r="Z7" s="249"/>
      <c r="AA7" s="160">
        <f t="shared" si="5"/>
        <v>0</v>
      </c>
      <c r="AB7" s="160">
        <f t="shared" si="6"/>
        <v>0</v>
      </c>
      <c r="AD7" s="192">
        <f t="shared" si="7"/>
        <v>0</v>
      </c>
      <c r="AE7" s="237" t="e">
        <f t="shared" si="9"/>
        <v>#DIV/0!</v>
      </c>
      <c r="AF7" s="237" t="e">
        <f t="shared" si="10"/>
        <v>#DIV/0!</v>
      </c>
      <c r="AG7" s="237" t="e">
        <f t="shared" si="11"/>
        <v>#DIV/0!</v>
      </c>
      <c r="AH7" s="250" t="e">
        <f t="shared" si="8"/>
        <v>#DIV/0!</v>
      </c>
    </row>
    <row r="8" spans="1:34" s="33" customFormat="1" x14ac:dyDescent="0.25">
      <c r="A8" s="158">
        <v>40</v>
      </c>
      <c r="B8" s="151"/>
      <c r="C8" s="159">
        <f t="shared" si="12"/>
        <v>44105</v>
      </c>
      <c r="D8" s="161" t="s">
        <v>41</v>
      </c>
      <c r="E8" s="159">
        <f t="shared" ref="E8:E12" si="13">C8+6</f>
        <v>44111</v>
      </c>
      <c r="F8" s="162"/>
      <c r="G8" s="24"/>
      <c r="H8" s="154"/>
      <c r="I8" s="191"/>
      <c r="J8" s="191"/>
      <c r="K8" s="191"/>
      <c r="L8" s="191"/>
      <c r="M8" s="24">
        <f t="shared" ref="M8:M14" si="14">I8+K8</f>
        <v>0</v>
      </c>
      <c r="N8" s="24">
        <f t="shared" ref="N8:N14" si="15">J8+L8</f>
        <v>0</v>
      </c>
      <c r="O8" s="154"/>
      <c r="P8" s="191"/>
      <c r="Q8" s="191"/>
      <c r="R8" s="191"/>
      <c r="S8" s="191"/>
      <c r="T8" s="24">
        <f t="shared" ref="T8:T14" si="16">P8+R8</f>
        <v>0</v>
      </c>
      <c r="U8" s="24">
        <f t="shared" ref="U8:U14" si="17">Q8+S8</f>
        <v>0</v>
      </c>
      <c r="V8" s="154"/>
      <c r="W8" s="249"/>
      <c r="X8" s="249"/>
      <c r="Y8" s="249"/>
      <c r="Z8" s="249"/>
      <c r="AA8" s="160">
        <f t="shared" ref="AA8:AA14" si="18">W8+Y8</f>
        <v>0</v>
      </c>
      <c r="AB8" s="160">
        <f t="shared" ref="AB8:AB14" si="19">X8+Z8</f>
        <v>0</v>
      </c>
      <c r="AD8" s="192">
        <f t="shared" si="7"/>
        <v>0</v>
      </c>
      <c r="AE8" s="237" t="e">
        <f t="shared" ref="AE8:AE16" si="20">N8/M8</f>
        <v>#DIV/0!</v>
      </c>
      <c r="AF8" s="237" t="e">
        <f t="shared" ref="AF8:AF16" si="21">U8/T8</f>
        <v>#DIV/0!</v>
      </c>
      <c r="AG8" s="237" t="e">
        <f t="shared" ref="AG8:AG16" si="22">AB8/AA8</f>
        <v>#DIV/0!</v>
      </c>
      <c r="AH8" s="250" t="e">
        <f t="shared" ref="AH8:AH16" si="23">AD8/G8</f>
        <v>#DIV/0!</v>
      </c>
    </row>
    <row r="9" spans="1:34" s="33" customFormat="1" x14ac:dyDescent="0.25">
      <c r="A9" s="158">
        <v>41</v>
      </c>
      <c r="B9" s="151"/>
      <c r="C9" s="159">
        <f t="shared" si="12"/>
        <v>44112</v>
      </c>
      <c r="D9" s="161" t="s">
        <v>41</v>
      </c>
      <c r="E9" s="159">
        <f t="shared" si="13"/>
        <v>44118</v>
      </c>
      <c r="F9" s="162"/>
      <c r="G9" s="24"/>
      <c r="H9" s="154"/>
      <c r="I9" s="191"/>
      <c r="J9" s="191"/>
      <c r="K9" s="191"/>
      <c r="L9" s="191"/>
      <c r="M9" s="24">
        <f t="shared" si="14"/>
        <v>0</v>
      </c>
      <c r="N9" s="24">
        <f t="shared" si="15"/>
        <v>0</v>
      </c>
      <c r="O9" s="154"/>
      <c r="P9" s="191"/>
      <c r="Q9" s="191"/>
      <c r="R9" s="191"/>
      <c r="S9" s="191"/>
      <c r="T9" s="24">
        <f t="shared" si="16"/>
        <v>0</v>
      </c>
      <c r="U9" s="24">
        <f t="shared" si="17"/>
        <v>0</v>
      </c>
      <c r="V9" s="154"/>
      <c r="W9" s="249"/>
      <c r="X9" s="249"/>
      <c r="Y9" s="249"/>
      <c r="Z9" s="249"/>
      <c r="AA9" s="160">
        <f t="shared" si="18"/>
        <v>0</v>
      </c>
      <c r="AB9" s="160">
        <f t="shared" si="19"/>
        <v>0</v>
      </c>
      <c r="AD9" s="192">
        <f t="shared" si="7"/>
        <v>0</v>
      </c>
      <c r="AE9" s="237" t="e">
        <f t="shared" si="20"/>
        <v>#DIV/0!</v>
      </c>
      <c r="AF9" s="237" t="e">
        <f t="shared" si="21"/>
        <v>#DIV/0!</v>
      </c>
      <c r="AG9" s="237" t="e">
        <f t="shared" si="22"/>
        <v>#DIV/0!</v>
      </c>
      <c r="AH9" s="250" t="e">
        <f t="shared" si="23"/>
        <v>#DIV/0!</v>
      </c>
    </row>
    <row r="10" spans="1:34" s="33" customFormat="1" x14ac:dyDescent="0.25">
      <c r="A10" s="162">
        <v>42</v>
      </c>
      <c r="B10" s="162"/>
      <c r="C10" s="159">
        <f t="shared" si="12"/>
        <v>44119</v>
      </c>
      <c r="D10" s="161" t="s">
        <v>41</v>
      </c>
      <c r="E10" s="159">
        <f t="shared" si="13"/>
        <v>44125</v>
      </c>
      <c r="F10" s="162"/>
      <c r="G10" s="24"/>
      <c r="H10" s="154"/>
      <c r="I10" s="191"/>
      <c r="J10" s="191"/>
      <c r="K10" s="191"/>
      <c r="L10" s="191"/>
      <c r="M10" s="24">
        <f t="shared" si="14"/>
        <v>0</v>
      </c>
      <c r="N10" s="24">
        <f t="shared" si="15"/>
        <v>0</v>
      </c>
      <c r="O10" s="154"/>
      <c r="P10" s="191"/>
      <c r="Q10" s="191"/>
      <c r="R10" s="191"/>
      <c r="S10" s="191"/>
      <c r="T10" s="24">
        <f t="shared" si="16"/>
        <v>0</v>
      </c>
      <c r="U10" s="24">
        <f t="shared" si="17"/>
        <v>0</v>
      </c>
      <c r="V10" s="154"/>
      <c r="W10" s="249"/>
      <c r="X10" s="249"/>
      <c r="Y10" s="249"/>
      <c r="Z10" s="249"/>
      <c r="AA10" s="160">
        <f t="shared" si="18"/>
        <v>0</v>
      </c>
      <c r="AB10" s="160">
        <f t="shared" si="19"/>
        <v>0</v>
      </c>
      <c r="AD10" s="192">
        <f t="shared" si="7"/>
        <v>0</v>
      </c>
      <c r="AE10" s="237" t="e">
        <f t="shared" si="20"/>
        <v>#DIV/0!</v>
      </c>
      <c r="AF10" s="237" t="e">
        <f t="shared" si="21"/>
        <v>#DIV/0!</v>
      </c>
      <c r="AG10" s="237" t="e">
        <f t="shared" si="22"/>
        <v>#DIV/0!</v>
      </c>
      <c r="AH10" s="250" t="e">
        <f t="shared" si="23"/>
        <v>#DIV/0!</v>
      </c>
    </row>
    <row r="11" spans="1:34" s="33" customFormat="1" x14ac:dyDescent="0.25">
      <c r="A11" s="162">
        <v>43</v>
      </c>
      <c r="B11" s="162"/>
      <c r="C11" s="159">
        <f t="shared" si="12"/>
        <v>44126</v>
      </c>
      <c r="D11" s="161" t="s">
        <v>41</v>
      </c>
      <c r="E11" s="159">
        <f t="shared" si="13"/>
        <v>44132</v>
      </c>
      <c r="F11" s="162"/>
      <c r="G11" s="24"/>
      <c r="H11" s="154"/>
      <c r="I11" s="191"/>
      <c r="J11" s="191"/>
      <c r="K11" s="191"/>
      <c r="L11" s="191"/>
      <c r="M11" s="24">
        <f t="shared" si="14"/>
        <v>0</v>
      </c>
      <c r="N11" s="24">
        <f t="shared" si="15"/>
        <v>0</v>
      </c>
      <c r="O11" s="154"/>
      <c r="P11" s="191"/>
      <c r="Q11" s="191"/>
      <c r="R11" s="191"/>
      <c r="S11" s="191"/>
      <c r="T11" s="24">
        <f t="shared" si="16"/>
        <v>0</v>
      </c>
      <c r="U11" s="24">
        <f t="shared" si="17"/>
        <v>0</v>
      </c>
      <c r="V11" s="154"/>
      <c r="W11" s="249"/>
      <c r="X11" s="249"/>
      <c r="Y11" s="249"/>
      <c r="Z11" s="249"/>
      <c r="AA11" s="160">
        <f t="shared" si="18"/>
        <v>0</v>
      </c>
      <c r="AB11" s="160">
        <f t="shared" si="19"/>
        <v>0</v>
      </c>
      <c r="AD11" s="192">
        <f t="shared" si="7"/>
        <v>0</v>
      </c>
      <c r="AE11" s="237" t="e">
        <f t="shared" si="20"/>
        <v>#DIV/0!</v>
      </c>
      <c r="AF11" s="237" t="e">
        <f t="shared" si="21"/>
        <v>#DIV/0!</v>
      </c>
      <c r="AG11" s="237" t="e">
        <f t="shared" si="22"/>
        <v>#DIV/0!</v>
      </c>
      <c r="AH11" s="250" t="e">
        <f t="shared" si="23"/>
        <v>#DIV/0!</v>
      </c>
    </row>
    <row r="12" spans="1:34" s="33" customFormat="1" x14ac:dyDescent="0.25">
      <c r="A12" s="162">
        <v>44</v>
      </c>
      <c r="B12" s="162"/>
      <c r="C12" s="159">
        <f t="shared" si="12"/>
        <v>44133</v>
      </c>
      <c r="D12" s="161" t="s">
        <v>41</v>
      </c>
      <c r="E12" s="159">
        <f t="shared" si="13"/>
        <v>44139</v>
      </c>
      <c r="F12" s="162"/>
      <c r="G12" s="24"/>
      <c r="H12" s="154"/>
      <c r="I12" s="191"/>
      <c r="J12" s="191"/>
      <c r="K12" s="191"/>
      <c r="L12" s="191"/>
      <c r="M12" s="24">
        <f t="shared" si="14"/>
        <v>0</v>
      </c>
      <c r="N12" s="24">
        <f t="shared" si="15"/>
        <v>0</v>
      </c>
      <c r="O12" s="162"/>
      <c r="P12" s="191"/>
      <c r="Q12" s="191"/>
      <c r="R12" s="191"/>
      <c r="S12" s="191"/>
      <c r="T12" s="24">
        <f t="shared" si="16"/>
        <v>0</v>
      </c>
      <c r="U12" s="24">
        <f t="shared" si="17"/>
        <v>0</v>
      </c>
      <c r="V12" s="162"/>
      <c r="W12" s="249"/>
      <c r="X12" s="249"/>
      <c r="Y12" s="249"/>
      <c r="Z12" s="249"/>
      <c r="AA12" s="160">
        <f t="shared" si="18"/>
        <v>0</v>
      </c>
      <c r="AB12" s="160">
        <f t="shared" si="19"/>
        <v>0</v>
      </c>
      <c r="AD12" s="192">
        <f t="shared" si="7"/>
        <v>0</v>
      </c>
      <c r="AE12" s="237" t="e">
        <f t="shared" si="20"/>
        <v>#DIV/0!</v>
      </c>
      <c r="AF12" s="237" t="e">
        <f t="shared" si="21"/>
        <v>#DIV/0!</v>
      </c>
      <c r="AG12" s="237" t="e">
        <f t="shared" si="22"/>
        <v>#DIV/0!</v>
      </c>
      <c r="AH12" s="250" t="e">
        <f t="shared" si="23"/>
        <v>#DIV/0!</v>
      </c>
    </row>
    <row r="13" spans="1:34" s="33" customFormat="1" x14ac:dyDescent="0.25">
      <c r="A13" s="158">
        <v>45</v>
      </c>
      <c r="B13" s="151"/>
      <c r="C13" s="159">
        <f t="shared" si="12"/>
        <v>44140</v>
      </c>
      <c r="D13" s="161" t="s">
        <v>41</v>
      </c>
      <c r="E13" s="159">
        <f t="shared" ref="E13:E14" si="24">C13+6</f>
        <v>44146</v>
      </c>
      <c r="F13" s="162"/>
      <c r="G13" s="24"/>
      <c r="H13" s="24"/>
      <c r="I13" s="26"/>
      <c r="J13" s="26"/>
      <c r="K13" s="26"/>
      <c r="L13" s="26"/>
      <c r="M13" s="24">
        <f t="shared" si="14"/>
        <v>0</v>
      </c>
      <c r="N13" s="24">
        <f t="shared" si="15"/>
        <v>0</v>
      </c>
      <c r="O13" s="5"/>
      <c r="P13" s="26"/>
      <c r="Q13" s="26"/>
      <c r="R13" s="26"/>
      <c r="S13" s="26"/>
      <c r="T13" s="24">
        <f t="shared" si="16"/>
        <v>0</v>
      </c>
      <c r="U13" s="24">
        <f t="shared" si="17"/>
        <v>0</v>
      </c>
      <c r="V13" s="5"/>
      <c r="W13" s="248"/>
      <c r="X13" s="248"/>
      <c r="Y13" s="248"/>
      <c r="Z13" s="248"/>
      <c r="AA13" s="160">
        <f t="shared" si="18"/>
        <v>0</v>
      </c>
      <c r="AB13" s="160">
        <f t="shared" si="19"/>
        <v>0</v>
      </c>
      <c r="AD13" s="192">
        <f t="shared" si="7"/>
        <v>0</v>
      </c>
      <c r="AE13" s="237" t="e">
        <f t="shared" si="20"/>
        <v>#DIV/0!</v>
      </c>
      <c r="AF13" s="237" t="e">
        <f t="shared" si="21"/>
        <v>#DIV/0!</v>
      </c>
      <c r="AG13" s="237" t="e">
        <f t="shared" si="22"/>
        <v>#DIV/0!</v>
      </c>
      <c r="AH13" s="250" t="e">
        <f t="shared" si="23"/>
        <v>#DIV/0!</v>
      </c>
    </row>
    <row r="14" spans="1:34" s="33" customFormat="1" x14ac:dyDescent="0.25">
      <c r="A14" s="158">
        <v>46</v>
      </c>
      <c r="B14" s="151"/>
      <c r="C14" s="159">
        <f t="shared" si="12"/>
        <v>44147</v>
      </c>
      <c r="D14" s="161" t="s">
        <v>41</v>
      </c>
      <c r="E14" s="159">
        <f t="shared" si="24"/>
        <v>44153</v>
      </c>
      <c r="F14" s="162"/>
      <c r="G14" s="263"/>
      <c r="H14" s="263"/>
      <c r="I14" s="266"/>
      <c r="J14" s="266"/>
      <c r="K14" s="266"/>
      <c r="L14" s="266"/>
      <c r="M14" s="263">
        <f t="shared" si="14"/>
        <v>0</v>
      </c>
      <c r="N14" s="263">
        <f t="shared" si="15"/>
        <v>0</v>
      </c>
      <c r="O14" s="165"/>
      <c r="P14" s="266"/>
      <c r="Q14" s="266"/>
      <c r="R14" s="266"/>
      <c r="S14" s="266"/>
      <c r="T14" s="263">
        <f t="shared" si="16"/>
        <v>0</v>
      </c>
      <c r="U14" s="263">
        <f t="shared" si="17"/>
        <v>0</v>
      </c>
      <c r="V14" s="165"/>
      <c r="W14" s="266"/>
      <c r="X14" s="266"/>
      <c r="Y14" s="266"/>
      <c r="Z14" s="266"/>
      <c r="AA14" s="267">
        <f t="shared" si="18"/>
        <v>0</v>
      </c>
      <c r="AB14" s="267">
        <f t="shared" si="19"/>
        <v>0</v>
      </c>
      <c r="AD14" s="192">
        <f t="shared" si="7"/>
        <v>0</v>
      </c>
      <c r="AE14" s="237" t="e">
        <f t="shared" si="20"/>
        <v>#DIV/0!</v>
      </c>
      <c r="AF14" s="237" t="e">
        <f t="shared" si="21"/>
        <v>#DIV/0!</v>
      </c>
      <c r="AG14" s="237" t="e">
        <f t="shared" si="22"/>
        <v>#DIV/0!</v>
      </c>
      <c r="AH14" s="250" t="e">
        <f t="shared" si="23"/>
        <v>#DIV/0!</v>
      </c>
    </row>
    <row r="15" spans="1:34" s="33" customFormat="1" ht="3" customHeight="1" x14ac:dyDescent="0.25">
      <c r="A15" s="162"/>
      <c r="B15" s="162"/>
      <c r="C15" s="159"/>
      <c r="D15" s="161"/>
      <c r="E15" s="159"/>
      <c r="F15" s="162"/>
      <c r="G15" s="268"/>
      <c r="H15" s="268"/>
      <c r="I15" s="268"/>
      <c r="J15" s="268"/>
      <c r="K15" s="268"/>
      <c r="L15" s="268"/>
      <c r="M15" s="268"/>
      <c r="N15" s="268"/>
      <c r="O15" s="269"/>
      <c r="P15" s="268"/>
      <c r="Q15" s="268"/>
      <c r="R15" s="268"/>
      <c r="S15" s="268"/>
      <c r="T15" s="268"/>
      <c r="U15" s="268"/>
      <c r="V15" s="269"/>
      <c r="W15" s="268"/>
      <c r="X15" s="268"/>
      <c r="Y15" s="268"/>
      <c r="Z15" s="268"/>
      <c r="AA15" s="268"/>
      <c r="AB15" s="268"/>
      <c r="AD15" s="192"/>
      <c r="AE15" s="252"/>
      <c r="AF15" s="252"/>
      <c r="AG15" s="252"/>
      <c r="AH15" s="265"/>
    </row>
    <row r="16" spans="1:34" s="33" customFormat="1" x14ac:dyDescent="0.25">
      <c r="A16" s="162"/>
      <c r="B16" s="162"/>
      <c r="C16" s="159"/>
      <c r="D16" s="161"/>
      <c r="E16" s="163" t="s">
        <v>143</v>
      </c>
      <c r="F16" s="162"/>
      <c r="G16" s="164">
        <f>SUM(G5:G15)</f>
        <v>0</v>
      </c>
      <c r="H16" s="164"/>
      <c r="I16" s="164">
        <f>SUM(I5:I15)</f>
        <v>0</v>
      </c>
      <c r="J16" s="164">
        <f>SUM(J5:J15)</f>
        <v>0</v>
      </c>
      <c r="K16" s="164">
        <f>SUM(K5:K15)</f>
        <v>0</v>
      </c>
      <c r="L16" s="164">
        <f>SUM(L5:L15)</f>
        <v>0</v>
      </c>
      <c r="M16" s="164">
        <f>SUM(M5:M15)</f>
        <v>0</v>
      </c>
      <c r="N16" s="164">
        <f>SUM(N5:N15)</f>
        <v>0</v>
      </c>
      <c r="O16" s="164"/>
      <c r="P16" s="164">
        <f>SUM(P5:P15)</f>
        <v>0</v>
      </c>
      <c r="Q16" s="164">
        <f>SUM(Q5:Q15)</f>
        <v>0</v>
      </c>
      <c r="R16" s="164">
        <f>SUM(R5:R15)</f>
        <v>0</v>
      </c>
      <c r="S16" s="164">
        <f>SUM(S5:S15)</f>
        <v>0</v>
      </c>
      <c r="T16" s="164">
        <f>SUM(T5:T15)</f>
        <v>0</v>
      </c>
      <c r="U16" s="164">
        <f>SUM(U5:U15)</f>
        <v>0</v>
      </c>
      <c r="V16" s="164"/>
      <c r="W16" s="164">
        <f>SUM(W5:W15)</f>
        <v>0</v>
      </c>
      <c r="X16" s="164">
        <f>SUM(X5:X15)</f>
        <v>0</v>
      </c>
      <c r="Y16" s="164">
        <f>SUM(Y5:Y15)</f>
        <v>0</v>
      </c>
      <c r="Z16" s="164">
        <f>SUM(Z5:Z15)</f>
        <v>0</v>
      </c>
      <c r="AA16" s="164">
        <f>SUM(AA5:AA15)</f>
        <v>0</v>
      </c>
      <c r="AB16" s="164">
        <f>SUM(AB5:AB15)</f>
        <v>0</v>
      </c>
      <c r="AD16" s="192">
        <f t="shared" si="7"/>
        <v>0</v>
      </c>
      <c r="AE16" s="237" t="e">
        <f t="shared" si="20"/>
        <v>#DIV/0!</v>
      </c>
      <c r="AF16" s="237" t="e">
        <f t="shared" si="21"/>
        <v>#DIV/0!</v>
      </c>
      <c r="AG16" s="237" t="e">
        <f t="shared" si="22"/>
        <v>#DIV/0!</v>
      </c>
      <c r="AH16" s="250" t="e">
        <f t="shared" si="23"/>
        <v>#DIV/0!</v>
      </c>
    </row>
    <row r="17" spans="1:34" s="33" customFormat="1" ht="15.6" x14ac:dyDescent="0.25">
      <c r="A17" s="128" t="s">
        <v>136</v>
      </c>
      <c r="B17" s="5"/>
      <c r="C17" s="168"/>
      <c r="D17" s="169"/>
      <c r="E17" s="168"/>
      <c r="F17" s="5"/>
      <c r="G17" s="37">
        <v>37</v>
      </c>
      <c r="H17" s="37"/>
      <c r="I17" s="37">
        <v>553</v>
      </c>
      <c r="J17" s="37">
        <v>12</v>
      </c>
      <c r="K17" s="37">
        <v>2814</v>
      </c>
      <c r="L17" s="37">
        <v>483</v>
      </c>
      <c r="M17" s="37">
        <v>3367</v>
      </c>
      <c r="N17" s="37">
        <v>495</v>
      </c>
      <c r="O17" s="32"/>
      <c r="P17" s="37">
        <v>29</v>
      </c>
      <c r="Q17" s="37">
        <v>26</v>
      </c>
      <c r="R17" s="37">
        <v>167</v>
      </c>
      <c r="S17" s="37">
        <v>154</v>
      </c>
      <c r="T17" s="37">
        <v>196</v>
      </c>
      <c r="U17" s="37">
        <v>180</v>
      </c>
      <c r="V17" s="32"/>
      <c r="W17" s="37">
        <v>6</v>
      </c>
      <c r="X17" s="37">
        <v>3</v>
      </c>
      <c r="Y17" s="37">
        <v>331</v>
      </c>
      <c r="Z17" s="37">
        <v>182</v>
      </c>
      <c r="AA17" s="37">
        <v>337</v>
      </c>
      <c r="AB17" s="37">
        <v>185</v>
      </c>
      <c r="AD17" s="218">
        <f t="shared" ref="AD17:AD23" si="25">SUM(AA17,T17,M17)</f>
        <v>3900</v>
      </c>
      <c r="AH17" s="250">
        <f t="shared" si="8"/>
        <v>105.4054054054054</v>
      </c>
    </row>
    <row r="18" spans="1:34" s="33" customFormat="1" ht="15.6" x14ac:dyDescent="0.25">
      <c r="A18" s="128" t="s">
        <v>126</v>
      </c>
      <c r="B18" s="5"/>
      <c r="C18" s="168"/>
      <c r="D18" s="169"/>
      <c r="E18" s="168"/>
      <c r="F18" s="5"/>
      <c r="G18" s="37">
        <v>49</v>
      </c>
      <c r="H18" s="37"/>
      <c r="I18" s="37">
        <v>43</v>
      </c>
      <c r="J18" s="37">
        <v>6</v>
      </c>
      <c r="K18" s="37">
        <v>101</v>
      </c>
      <c r="L18" s="37">
        <v>15</v>
      </c>
      <c r="M18" s="37">
        <v>144</v>
      </c>
      <c r="N18" s="37">
        <v>21</v>
      </c>
      <c r="O18" s="32"/>
      <c r="P18" s="37">
        <v>39</v>
      </c>
      <c r="Q18" s="37">
        <v>38</v>
      </c>
      <c r="R18" s="37">
        <v>32</v>
      </c>
      <c r="S18" s="37">
        <v>27</v>
      </c>
      <c r="T18" s="37">
        <v>71</v>
      </c>
      <c r="U18" s="37">
        <v>65</v>
      </c>
      <c r="V18" s="32"/>
      <c r="W18" s="37">
        <v>14</v>
      </c>
      <c r="X18" s="37">
        <v>9</v>
      </c>
      <c r="Y18" s="37">
        <v>211</v>
      </c>
      <c r="Z18" s="37">
        <v>89</v>
      </c>
      <c r="AA18" s="37">
        <v>225</v>
      </c>
      <c r="AB18" s="37">
        <v>98</v>
      </c>
      <c r="AD18" s="218">
        <f t="shared" si="25"/>
        <v>440</v>
      </c>
      <c r="AH18" s="250">
        <f t="shared" si="8"/>
        <v>8.9795918367346932</v>
      </c>
    </row>
    <row r="19" spans="1:34" s="33" customFormat="1" ht="15.6" x14ac:dyDescent="0.25">
      <c r="A19" s="128" t="s">
        <v>113</v>
      </c>
      <c r="B19" s="5"/>
      <c r="C19" s="168"/>
      <c r="D19" s="169"/>
      <c r="E19" s="168"/>
      <c r="F19" s="5"/>
      <c r="G19" s="37">
        <v>61</v>
      </c>
      <c r="H19" s="37"/>
      <c r="I19" s="37">
        <v>705</v>
      </c>
      <c r="J19" s="37">
        <v>33</v>
      </c>
      <c r="K19" s="37">
        <v>885</v>
      </c>
      <c r="L19" s="37">
        <v>124</v>
      </c>
      <c r="M19" s="37">
        <v>1589</v>
      </c>
      <c r="N19" s="37">
        <v>157</v>
      </c>
      <c r="O19" s="32"/>
      <c r="P19" s="37">
        <v>14</v>
      </c>
      <c r="Q19" s="37">
        <v>12</v>
      </c>
      <c r="R19" s="37">
        <v>139</v>
      </c>
      <c r="S19" s="37">
        <v>122</v>
      </c>
      <c r="T19" s="37">
        <v>153</v>
      </c>
      <c r="U19" s="37">
        <v>134</v>
      </c>
      <c r="V19" s="32"/>
      <c r="W19" s="37">
        <v>17</v>
      </c>
      <c r="X19" s="37">
        <v>11</v>
      </c>
      <c r="Y19" s="37">
        <v>703</v>
      </c>
      <c r="Z19" s="37">
        <v>168</v>
      </c>
      <c r="AA19" s="37">
        <v>717</v>
      </c>
      <c r="AB19" s="37">
        <v>179</v>
      </c>
      <c r="AD19" s="218">
        <f t="shared" si="25"/>
        <v>2459</v>
      </c>
      <c r="AH19" s="250">
        <f t="shared" si="8"/>
        <v>40.311475409836063</v>
      </c>
    </row>
    <row r="20" spans="1:34" s="33" customFormat="1" ht="15.6" x14ac:dyDescent="0.25">
      <c r="A20" s="128" t="s">
        <v>103</v>
      </c>
      <c r="B20" s="5"/>
      <c r="C20" s="168"/>
      <c r="D20" s="169"/>
      <c r="E20" s="168"/>
      <c r="F20" s="5"/>
      <c r="G20" s="37">
        <v>58</v>
      </c>
      <c r="H20" s="37"/>
      <c r="I20" s="37">
        <v>251</v>
      </c>
      <c r="J20" s="37">
        <v>5</v>
      </c>
      <c r="K20" s="37">
        <v>1341</v>
      </c>
      <c r="L20" s="37">
        <v>204</v>
      </c>
      <c r="M20" s="37">
        <f>I20+K20</f>
        <v>1592</v>
      </c>
      <c r="N20" s="37">
        <f>J20+L20</f>
        <v>209</v>
      </c>
      <c r="O20" s="32"/>
      <c r="P20" s="37">
        <v>48</v>
      </c>
      <c r="Q20" s="37">
        <v>46</v>
      </c>
      <c r="R20" s="37">
        <v>25</v>
      </c>
      <c r="S20" s="37">
        <v>24</v>
      </c>
      <c r="T20" s="37">
        <v>73</v>
      </c>
      <c r="U20" s="37">
        <v>70</v>
      </c>
      <c r="V20" s="32"/>
      <c r="W20" s="37">
        <v>22</v>
      </c>
      <c r="X20" s="37">
        <v>8</v>
      </c>
      <c r="Y20" s="37">
        <v>510</v>
      </c>
      <c r="Z20" s="37">
        <v>306</v>
      </c>
      <c r="AA20" s="37">
        <v>532</v>
      </c>
      <c r="AB20" s="37">
        <v>314</v>
      </c>
      <c r="AD20" s="218">
        <f t="shared" si="25"/>
        <v>2197</v>
      </c>
      <c r="AH20" s="250">
        <f t="shared" si="8"/>
        <v>37.879310344827587</v>
      </c>
    </row>
    <row r="21" spans="1:34" s="33" customFormat="1" ht="15.6" x14ac:dyDescent="0.25">
      <c r="A21" s="128" t="s">
        <v>81</v>
      </c>
      <c r="B21" s="5"/>
      <c r="C21" s="168"/>
      <c r="D21" s="169"/>
      <c r="E21" s="168"/>
      <c r="F21" s="5"/>
      <c r="G21" s="37">
        <v>49</v>
      </c>
      <c r="H21" s="37"/>
      <c r="I21" s="37">
        <v>865</v>
      </c>
      <c r="J21" s="37">
        <v>97</v>
      </c>
      <c r="K21" s="37">
        <v>1030</v>
      </c>
      <c r="L21" s="37">
        <v>122</v>
      </c>
      <c r="M21" s="37">
        <v>1895</v>
      </c>
      <c r="N21" s="37">
        <v>219</v>
      </c>
      <c r="O21" s="32"/>
      <c r="P21" s="37">
        <v>36</v>
      </c>
      <c r="Q21" s="37">
        <v>33</v>
      </c>
      <c r="R21" s="37">
        <v>30</v>
      </c>
      <c r="S21" s="37">
        <v>26</v>
      </c>
      <c r="T21" s="37">
        <v>66</v>
      </c>
      <c r="U21" s="37">
        <v>59</v>
      </c>
      <c r="V21" s="32"/>
      <c r="W21" s="37">
        <v>57</v>
      </c>
      <c r="X21" s="37">
        <v>39</v>
      </c>
      <c r="Y21" s="37">
        <v>689</v>
      </c>
      <c r="Z21" s="37">
        <v>451</v>
      </c>
      <c r="AA21" s="37">
        <v>746</v>
      </c>
      <c r="AB21" s="37">
        <v>490</v>
      </c>
      <c r="AD21" s="218">
        <f t="shared" si="25"/>
        <v>2707</v>
      </c>
      <c r="AH21" s="250">
        <f t="shared" si="8"/>
        <v>55.244897959183675</v>
      </c>
    </row>
    <row r="22" spans="1:34" s="33" customFormat="1" ht="15.6" x14ac:dyDescent="0.25">
      <c r="A22" s="128" t="s">
        <v>88</v>
      </c>
      <c r="B22" s="163"/>
      <c r="C22" s="163"/>
      <c r="D22" s="163"/>
      <c r="E22" s="168"/>
      <c r="F22" s="5"/>
      <c r="G22" s="37">
        <v>34</v>
      </c>
      <c r="H22" s="37"/>
      <c r="I22" s="37">
        <v>76</v>
      </c>
      <c r="J22" s="37">
        <v>8</v>
      </c>
      <c r="K22" s="37">
        <v>383</v>
      </c>
      <c r="L22" s="37">
        <v>23</v>
      </c>
      <c r="M22" s="37">
        <v>459</v>
      </c>
      <c r="N22" s="37">
        <v>31</v>
      </c>
      <c r="O22" s="32"/>
      <c r="P22" s="37">
        <v>2</v>
      </c>
      <c r="Q22" s="37">
        <v>2</v>
      </c>
      <c r="R22" s="37">
        <v>1</v>
      </c>
      <c r="S22" s="37">
        <v>1</v>
      </c>
      <c r="T22" s="37">
        <v>3</v>
      </c>
      <c r="U22" s="37">
        <v>3</v>
      </c>
      <c r="V22" s="32"/>
      <c r="W22" s="37">
        <v>45</v>
      </c>
      <c r="X22" s="37">
        <v>24</v>
      </c>
      <c r="Y22" s="37">
        <v>519</v>
      </c>
      <c r="Z22" s="37">
        <v>288</v>
      </c>
      <c r="AA22" s="37">
        <v>563</v>
      </c>
      <c r="AB22" s="37">
        <v>312</v>
      </c>
      <c r="AD22" s="218">
        <f t="shared" si="25"/>
        <v>1025</v>
      </c>
      <c r="AH22" s="250">
        <f t="shared" si="8"/>
        <v>30.147058823529413</v>
      </c>
    </row>
    <row r="23" spans="1:34" s="33" customFormat="1" ht="15.6" x14ac:dyDescent="0.25">
      <c r="A23" s="128" t="s">
        <v>89</v>
      </c>
      <c r="B23" s="163"/>
      <c r="C23" s="163"/>
      <c r="D23" s="163"/>
      <c r="E23" s="163"/>
      <c r="F23" s="154"/>
      <c r="G23" s="164">
        <v>67</v>
      </c>
      <c r="H23" s="164"/>
      <c r="I23" s="164">
        <v>191</v>
      </c>
      <c r="J23" s="164">
        <v>9</v>
      </c>
      <c r="K23" s="164">
        <v>684</v>
      </c>
      <c r="L23" s="164">
        <v>83</v>
      </c>
      <c r="M23" s="164">
        <v>875</v>
      </c>
      <c r="N23" s="164">
        <v>92</v>
      </c>
      <c r="O23" s="264"/>
      <c r="P23" s="164">
        <v>100</v>
      </c>
      <c r="Q23" s="164">
        <v>93</v>
      </c>
      <c r="R23" s="164">
        <v>394</v>
      </c>
      <c r="S23" s="164">
        <v>314</v>
      </c>
      <c r="T23" s="164">
        <v>494</v>
      </c>
      <c r="U23" s="164">
        <v>407</v>
      </c>
      <c r="V23" s="264"/>
      <c r="W23" s="164">
        <v>65</v>
      </c>
      <c r="X23" s="164">
        <v>60</v>
      </c>
      <c r="Y23" s="164">
        <v>1215</v>
      </c>
      <c r="Z23" s="164">
        <v>948</v>
      </c>
      <c r="AA23" s="164">
        <v>1280</v>
      </c>
      <c r="AB23" s="164">
        <v>1008</v>
      </c>
      <c r="AD23" s="218">
        <f t="shared" si="25"/>
        <v>2649</v>
      </c>
      <c r="AH23" s="250">
        <f t="shared" si="8"/>
        <v>39.537313432835823</v>
      </c>
    </row>
    <row r="24" spans="1:34" s="33" customFormat="1" x14ac:dyDescent="0.25">
      <c r="A24" s="128"/>
      <c r="B24" s="163"/>
      <c r="C24" s="163"/>
      <c r="D24" s="163"/>
      <c r="E24" s="163" t="s">
        <v>141</v>
      </c>
      <c r="F24" s="154"/>
      <c r="G24" s="37">
        <f>AVERAGE(G17:G23)</f>
        <v>50.714285714285715</v>
      </c>
      <c r="H24" s="37"/>
      <c r="I24" s="37">
        <f t="shared" ref="I24:AB24" si="26">AVERAGE(I17:I23)</f>
        <v>383.42857142857144</v>
      </c>
      <c r="J24" s="37">
        <f t="shared" si="26"/>
        <v>24.285714285714285</v>
      </c>
      <c r="K24" s="37">
        <f t="shared" si="26"/>
        <v>1034</v>
      </c>
      <c r="L24" s="37">
        <f t="shared" si="26"/>
        <v>150.57142857142858</v>
      </c>
      <c r="M24" s="37">
        <f t="shared" si="26"/>
        <v>1417.2857142857142</v>
      </c>
      <c r="N24" s="37">
        <f t="shared" si="26"/>
        <v>174.85714285714286</v>
      </c>
      <c r="O24" s="37"/>
      <c r="P24" s="37">
        <f t="shared" si="26"/>
        <v>38.285714285714285</v>
      </c>
      <c r="Q24" s="37">
        <f t="shared" si="26"/>
        <v>35.714285714285715</v>
      </c>
      <c r="R24" s="37">
        <f t="shared" si="26"/>
        <v>112.57142857142857</v>
      </c>
      <c r="S24" s="37">
        <f t="shared" si="26"/>
        <v>95.428571428571431</v>
      </c>
      <c r="T24" s="37">
        <f t="shared" si="26"/>
        <v>150.85714285714286</v>
      </c>
      <c r="U24" s="37">
        <f t="shared" si="26"/>
        <v>131.14285714285714</v>
      </c>
      <c r="V24" s="37"/>
      <c r="W24" s="37">
        <f t="shared" si="26"/>
        <v>32.285714285714285</v>
      </c>
      <c r="X24" s="37">
        <f t="shared" si="26"/>
        <v>22</v>
      </c>
      <c r="Y24" s="37">
        <f t="shared" si="26"/>
        <v>596.85714285714289</v>
      </c>
      <c r="Z24" s="37">
        <f t="shared" si="26"/>
        <v>347.42857142857144</v>
      </c>
      <c r="AA24" s="37">
        <f t="shared" si="26"/>
        <v>628.57142857142856</v>
      </c>
      <c r="AB24" s="37">
        <f t="shared" si="26"/>
        <v>369.42857142857144</v>
      </c>
      <c r="AD24" s="218"/>
      <c r="AH24" s="250"/>
    </row>
    <row r="25" spans="1:34" s="33" customFormat="1" x14ac:dyDescent="0.25">
      <c r="A25" s="162" t="s">
        <v>36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5"/>
      <c r="W25" s="162"/>
      <c r="X25" s="162"/>
      <c r="Y25" s="162"/>
      <c r="Z25" s="162"/>
      <c r="AA25" s="162"/>
      <c r="AB25" s="162"/>
      <c r="AH25" s="192">
        <f>AVERAGE(AH17:AH23)</f>
        <v>45.357864744621807</v>
      </c>
    </row>
    <row r="26" spans="1:34" s="33" customFormat="1" x14ac:dyDescent="0.25">
      <c r="A26" s="170" t="s">
        <v>37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</row>
    <row r="27" spans="1:34" s="33" customFormat="1" x14ac:dyDescent="0.25">
      <c r="A27" s="171" t="s">
        <v>105</v>
      </c>
      <c r="D27" s="170"/>
      <c r="E27" s="170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</row>
    <row r="28" spans="1:34" s="33" customFormat="1" x14ac:dyDescent="0.25">
      <c r="A28" s="170" t="s">
        <v>38</v>
      </c>
      <c r="B28" s="170"/>
      <c r="C28" s="170"/>
      <c r="D28" s="170"/>
      <c r="E28" s="170"/>
      <c r="AA28" s="172"/>
    </row>
    <row r="29" spans="1:34" s="33" customFormat="1" x14ac:dyDescent="0.25">
      <c r="A29" s="133" t="s">
        <v>107</v>
      </c>
      <c r="B29" s="170"/>
      <c r="C29" s="170"/>
      <c r="D29" s="170"/>
      <c r="E29" s="170"/>
    </row>
    <row r="30" spans="1:34" x14ac:dyDescent="0.25">
      <c r="A30" s="23" t="s">
        <v>149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tabSelected="1" zoomScale="130" zoomScaleNormal="130" workbookViewId="0">
      <selection activeCell="W8" sqref="W8"/>
    </sheetView>
  </sheetViews>
  <sheetFormatPr defaultRowHeight="13.2" x14ac:dyDescent="0.25"/>
  <cols>
    <col min="1" max="1" width="6.88671875" style="19" customWidth="1"/>
    <col min="2" max="2" width="2.109375" style="19" customWidth="1"/>
    <col min="3" max="3" width="6.88671875" style="19" customWidth="1"/>
    <col min="4" max="4" width="2.5546875" style="19" customWidth="1"/>
    <col min="5" max="5" width="7" style="19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150" customFormat="1" ht="15.6" x14ac:dyDescent="0.25">
      <c r="A1" s="150" t="s">
        <v>146</v>
      </c>
    </row>
    <row r="2" spans="1:28" s="33" customFormat="1" x14ac:dyDescent="0.25">
      <c r="A2" s="173"/>
      <c r="B2" s="173"/>
      <c r="C2" s="173"/>
      <c r="D2" s="173"/>
      <c r="E2" s="173"/>
      <c r="F2" s="150"/>
      <c r="G2" s="152" t="s">
        <v>17</v>
      </c>
      <c r="H2" s="152"/>
      <c r="I2" s="152"/>
      <c r="J2" s="152"/>
      <c r="K2" s="152"/>
      <c r="L2" s="152"/>
      <c r="M2" s="174"/>
      <c r="N2" s="152" t="s">
        <v>18</v>
      </c>
      <c r="O2" s="152"/>
      <c r="P2" s="152"/>
      <c r="Q2" s="152"/>
      <c r="R2" s="152"/>
      <c r="S2" s="152"/>
      <c r="T2" s="150"/>
      <c r="U2" s="282" t="s">
        <v>19</v>
      </c>
      <c r="V2" s="282"/>
      <c r="W2" s="175"/>
    </row>
    <row r="3" spans="1:28" s="33" customFormat="1" ht="15.6" x14ac:dyDescent="0.25">
      <c r="A3" s="150" t="s">
        <v>20</v>
      </c>
      <c r="B3" s="150"/>
      <c r="C3" s="150"/>
      <c r="D3" s="150"/>
      <c r="E3" s="150"/>
      <c r="F3" s="150"/>
      <c r="G3" s="155" t="s">
        <v>22</v>
      </c>
      <c r="H3" s="155"/>
      <c r="I3" s="155" t="s">
        <v>43</v>
      </c>
      <c r="J3" s="155"/>
      <c r="K3" s="155" t="s">
        <v>24</v>
      </c>
      <c r="L3" s="155"/>
      <c r="M3" s="176"/>
      <c r="N3" s="155" t="s">
        <v>22</v>
      </c>
      <c r="O3" s="155"/>
      <c r="P3" s="155" t="s">
        <v>23</v>
      </c>
      <c r="Q3" s="155"/>
      <c r="R3" s="155" t="s">
        <v>24</v>
      </c>
      <c r="S3" s="155"/>
      <c r="T3" s="150"/>
      <c r="U3" s="155" t="s">
        <v>23</v>
      </c>
      <c r="V3" s="155"/>
      <c r="W3" s="31"/>
      <c r="Z3" s="33" t="s">
        <v>122</v>
      </c>
      <c r="AA3" s="33" t="s">
        <v>123</v>
      </c>
      <c r="AB3" s="33" t="s">
        <v>124</v>
      </c>
    </row>
    <row r="4" spans="1:28" s="33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30</v>
      </c>
      <c r="H4" s="157" t="s">
        <v>134</v>
      </c>
      <c r="I4" s="157" t="s">
        <v>30</v>
      </c>
      <c r="J4" s="157" t="s">
        <v>31</v>
      </c>
      <c r="K4" s="157" t="s">
        <v>30</v>
      </c>
      <c r="L4" s="157" t="s">
        <v>31</v>
      </c>
      <c r="M4" s="177"/>
      <c r="N4" s="157" t="s">
        <v>30</v>
      </c>
      <c r="O4" s="157" t="s">
        <v>32</v>
      </c>
      <c r="P4" s="157" t="s">
        <v>30</v>
      </c>
      <c r="Q4" s="157" t="s">
        <v>32</v>
      </c>
      <c r="R4" s="157" t="s">
        <v>30</v>
      </c>
      <c r="S4" s="157" t="s">
        <v>32</v>
      </c>
      <c r="T4" s="157"/>
      <c r="U4" s="157" t="s">
        <v>30</v>
      </c>
      <c r="V4" s="157" t="s">
        <v>31</v>
      </c>
      <c r="W4" s="5"/>
      <c r="X4" s="24" t="s">
        <v>106</v>
      </c>
    </row>
    <row r="5" spans="1:28" s="33" customFormat="1" x14ac:dyDescent="0.25">
      <c r="A5" s="26">
        <v>36</v>
      </c>
      <c r="B5" s="27"/>
      <c r="C5" s="30">
        <v>38233</v>
      </c>
      <c r="D5" s="29" t="s">
        <v>41</v>
      </c>
      <c r="E5" s="30">
        <v>38239</v>
      </c>
      <c r="F5" s="31"/>
      <c r="G5" s="37">
        <v>64</v>
      </c>
      <c r="H5" s="37">
        <v>3</v>
      </c>
      <c r="I5" s="37">
        <v>162</v>
      </c>
      <c r="J5" s="37">
        <v>14</v>
      </c>
      <c r="K5" s="24">
        <f t="shared" ref="K5:L9" si="0">G5+I5</f>
        <v>226</v>
      </c>
      <c r="L5" s="24">
        <f t="shared" si="0"/>
        <v>17</v>
      </c>
      <c r="M5" s="178"/>
      <c r="N5" s="37">
        <v>0</v>
      </c>
      <c r="O5" s="37">
        <v>0</v>
      </c>
      <c r="P5" s="37">
        <v>0</v>
      </c>
      <c r="Q5" s="37">
        <v>0</v>
      </c>
      <c r="R5" s="46">
        <v>0</v>
      </c>
      <c r="S5" s="24">
        <f t="shared" ref="S5:S8" si="1">O5+Q5</f>
        <v>0</v>
      </c>
      <c r="T5" s="37"/>
      <c r="U5" s="37">
        <v>3</v>
      </c>
      <c r="V5" s="37">
        <v>3</v>
      </c>
      <c r="W5" s="32"/>
      <c r="X5" s="206">
        <f>U5+R5+K5</f>
        <v>229</v>
      </c>
      <c r="Z5" s="237">
        <f>L5/K5</f>
        <v>7.5221238938053103E-2</v>
      </c>
      <c r="AA5" s="237">
        <f t="shared" ref="AA5:AB5" si="2">M5/L5</f>
        <v>0</v>
      </c>
      <c r="AB5" s="237" t="e">
        <f t="shared" si="2"/>
        <v>#DIV/0!</v>
      </c>
    </row>
    <row r="6" spans="1:28" s="33" customFormat="1" x14ac:dyDescent="0.25">
      <c r="A6" s="26">
        <v>37</v>
      </c>
      <c r="B6" s="27"/>
      <c r="C6" s="30">
        <f t="shared" ref="C6:C10" si="3">C5+7</f>
        <v>38240</v>
      </c>
      <c r="D6" s="29" t="s">
        <v>41</v>
      </c>
      <c r="E6" s="30">
        <f t="shared" ref="E6:E10" si="4">E5+7</f>
        <v>38246</v>
      </c>
      <c r="F6" s="31"/>
      <c r="G6" s="37"/>
      <c r="H6" s="37"/>
      <c r="I6" s="37"/>
      <c r="J6" s="37"/>
      <c r="K6" s="24">
        <f t="shared" si="0"/>
        <v>0</v>
      </c>
      <c r="L6" s="24">
        <f t="shared" si="0"/>
        <v>0</v>
      </c>
      <c r="M6" s="178"/>
      <c r="N6" s="37"/>
      <c r="O6" s="37"/>
      <c r="P6" s="37"/>
      <c r="Q6" s="37"/>
      <c r="R6" s="46">
        <v>0</v>
      </c>
      <c r="S6" s="24">
        <f t="shared" si="1"/>
        <v>0</v>
      </c>
      <c r="T6" s="37"/>
      <c r="U6" s="37"/>
      <c r="V6" s="37"/>
      <c r="W6" s="32"/>
      <c r="X6" s="206">
        <f t="shared" ref="X6:X10" si="5">U6+R6+K6</f>
        <v>0</v>
      </c>
      <c r="Z6" s="237" t="e">
        <f t="shared" ref="Z6:Z32" si="6">L6/K6</f>
        <v>#DIV/0!</v>
      </c>
      <c r="AA6" s="237" t="e">
        <f t="shared" ref="AA6:AA32" si="7">M6/L6</f>
        <v>#DIV/0!</v>
      </c>
      <c r="AB6" s="237" t="e">
        <f t="shared" ref="AB6:AB32" si="8">N6/M6</f>
        <v>#DIV/0!</v>
      </c>
    </row>
    <row r="7" spans="1:28" s="33" customFormat="1" x14ac:dyDescent="0.25">
      <c r="A7" s="26">
        <v>38</v>
      </c>
      <c r="B7" s="27"/>
      <c r="C7" s="30">
        <f t="shared" si="3"/>
        <v>38247</v>
      </c>
      <c r="D7" s="29" t="s">
        <v>41</v>
      </c>
      <c r="E7" s="30">
        <f t="shared" si="4"/>
        <v>38253</v>
      </c>
      <c r="F7" s="31"/>
      <c r="G7" s="37"/>
      <c r="H7" s="37"/>
      <c r="I7" s="37"/>
      <c r="J7" s="37"/>
      <c r="K7" s="24">
        <f t="shared" si="0"/>
        <v>0</v>
      </c>
      <c r="L7" s="24">
        <f t="shared" si="0"/>
        <v>0</v>
      </c>
      <c r="M7" s="178"/>
      <c r="N7" s="37"/>
      <c r="O7" s="37"/>
      <c r="P7" s="37"/>
      <c r="Q7" s="37"/>
      <c r="R7" s="46">
        <v>0</v>
      </c>
      <c r="S7" s="24">
        <f t="shared" si="1"/>
        <v>0</v>
      </c>
      <c r="T7" s="37"/>
      <c r="U7" s="37"/>
      <c r="V7" s="37"/>
      <c r="W7" s="32"/>
      <c r="X7" s="206">
        <f t="shared" si="5"/>
        <v>0</v>
      </c>
      <c r="Z7" s="237" t="e">
        <f t="shared" si="6"/>
        <v>#DIV/0!</v>
      </c>
      <c r="AA7" s="237" t="e">
        <f t="shared" si="7"/>
        <v>#DIV/0!</v>
      </c>
      <c r="AB7" s="237" t="e">
        <f t="shared" si="8"/>
        <v>#DIV/0!</v>
      </c>
    </row>
    <row r="8" spans="1:28" s="33" customFormat="1" x14ac:dyDescent="0.25">
      <c r="A8" s="26">
        <v>39</v>
      </c>
      <c r="B8" s="27"/>
      <c r="C8" s="30">
        <f t="shared" si="3"/>
        <v>38254</v>
      </c>
      <c r="D8" s="29" t="s">
        <v>41</v>
      </c>
      <c r="E8" s="30">
        <f t="shared" si="4"/>
        <v>38260</v>
      </c>
      <c r="F8" s="31"/>
      <c r="G8" s="37"/>
      <c r="H8" s="37"/>
      <c r="I8" s="37"/>
      <c r="J8" s="37"/>
      <c r="K8" s="24">
        <f t="shared" si="0"/>
        <v>0</v>
      </c>
      <c r="L8" s="24">
        <f t="shared" si="0"/>
        <v>0</v>
      </c>
      <c r="M8" s="178"/>
      <c r="N8" s="37"/>
      <c r="O8" s="37"/>
      <c r="P8" s="37"/>
      <c r="Q8" s="37"/>
      <c r="R8" s="46">
        <v>0</v>
      </c>
      <c r="S8" s="24">
        <f t="shared" si="1"/>
        <v>0</v>
      </c>
      <c r="T8" s="37"/>
      <c r="U8" s="37"/>
      <c r="V8" s="37"/>
      <c r="W8" s="32"/>
      <c r="X8" s="206">
        <f t="shared" si="5"/>
        <v>0</v>
      </c>
      <c r="Z8" s="237" t="e">
        <f t="shared" si="6"/>
        <v>#DIV/0!</v>
      </c>
      <c r="AA8" s="237" t="e">
        <f t="shared" si="7"/>
        <v>#DIV/0!</v>
      </c>
      <c r="AB8" s="237" t="e">
        <f t="shared" si="8"/>
        <v>#DIV/0!</v>
      </c>
    </row>
    <row r="9" spans="1:28" s="33" customFormat="1" x14ac:dyDescent="0.25">
      <c r="A9" s="26">
        <v>40</v>
      </c>
      <c r="B9" s="27"/>
      <c r="C9" s="30">
        <f t="shared" si="3"/>
        <v>38261</v>
      </c>
      <c r="D9" s="29" t="s">
        <v>41</v>
      </c>
      <c r="E9" s="30">
        <f t="shared" si="4"/>
        <v>38267</v>
      </c>
      <c r="F9" s="31"/>
      <c r="G9" s="37"/>
      <c r="H9" s="37"/>
      <c r="I9" s="37"/>
      <c r="J9" s="37"/>
      <c r="K9" s="24">
        <f t="shared" si="0"/>
        <v>0</v>
      </c>
      <c r="L9" s="24">
        <f t="shared" si="0"/>
        <v>0</v>
      </c>
      <c r="M9" s="178"/>
      <c r="N9" s="37"/>
      <c r="O9" s="37"/>
      <c r="P9" s="37"/>
      <c r="Q9" s="37"/>
      <c r="R9" s="46">
        <v>0</v>
      </c>
      <c r="S9" s="24">
        <f t="shared" ref="S9:S10" si="9">O9+Q9</f>
        <v>0</v>
      </c>
      <c r="T9" s="37"/>
      <c r="U9" s="37"/>
      <c r="V9" s="37"/>
      <c r="W9" s="32"/>
      <c r="X9" s="206">
        <f t="shared" si="5"/>
        <v>0</v>
      </c>
      <c r="Z9" s="237" t="e">
        <f t="shared" si="6"/>
        <v>#DIV/0!</v>
      </c>
      <c r="AA9" s="237" t="e">
        <f t="shared" si="7"/>
        <v>#DIV/0!</v>
      </c>
      <c r="AB9" s="237" t="e">
        <f t="shared" si="8"/>
        <v>#DIV/0!</v>
      </c>
    </row>
    <row r="10" spans="1:28" s="33" customFormat="1" x14ac:dyDescent="0.25">
      <c r="A10" s="26">
        <v>41</v>
      </c>
      <c r="B10" s="27"/>
      <c r="C10" s="30">
        <f t="shared" si="3"/>
        <v>38268</v>
      </c>
      <c r="D10" s="29" t="s">
        <v>41</v>
      </c>
      <c r="E10" s="30">
        <f t="shared" si="4"/>
        <v>38274</v>
      </c>
      <c r="F10" s="31"/>
      <c r="G10" s="37"/>
      <c r="H10" s="37"/>
      <c r="I10" s="37"/>
      <c r="J10" s="37"/>
      <c r="K10" s="24">
        <f t="shared" ref="K10" si="10">G10+I10</f>
        <v>0</v>
      </c>
      <c r="L10" s="24">
        <f t="shared" ref="L10" si="11">H10+J10</f>
        <v>0</v>
      </c>
      <c r="M10" s="178"/>
      <c r="N10" s="37"/>
      <c r="O10" s="37"/>
      <c r="P10" s="37"/>
      <c r="Q10" s="37"/>
      <c r="R10" s="46">
        <v>0</v>
      </c>
      <c r="S10" s="24">
        <f t="shared" si="9"/>
        <v>0</v>
      </c>
      <c r="T10" s="37"/>
      <c r="U10" s="37"/>
      <c r="V10" s="37"/>
      <c r="W10" s="32"/>
      <c r="X10" s="206">
        <f t="shared" si="5"/>
        <v>0</v>
      </c>
      <c r="Y10" s="162"/>
      <c r="Z10" s="237" t="e">
        <f t="shared" si="6"/>
        <v>#DIV/0!</v>
      </c>
      <c r="AA10" s="237" t="e">
        <f t="shared" si="7"/>
        <v>#DIV/0!</v>
      </c>
      <c r="AB10" s="237" t="e">
        <f t="shared" si="8"/>
        <v>#DIV/0!</v>
      </c>
    </row>
    <row r="11" spans="1:28" s="33" customFormat="1" x14ac:dyDescent="0.25">
      <c r="A11" s="179" t="s">
        <v>145</v>
      </c>
      <c r="B11" s="179"/>
      <c r="C11" s="179"/>
      <c r="D11" s="179"/>
      <c r="E11" s="179"/>
      <c r="F11" s="179"/>
      <c r="G11" s="37">
        <f t="shared" ref="G11:L11" si="12">SUM(G5:G10)</f>
        <v>64</v>
      </c>
      <c r="H11" s="37">
        <f t="shared" si="12"/>
        <v>3</v>
      </c>
      <c r="I11" s="37">
        <f t="shared" si="12"/>
        <v>162</v>
      </c>
      <c r="J11" s="37">
        <f t="shared" si="12"/>
        <v>14</v>
      </c>
      <c r="K11" s="37">
        <f t="shared" si="12"/>
        <v>226</v>
      </c>
      <c r="L11" s="37">
        <f t="shared" si="12"/>
        <v>17</v>
      </c>
      <c r="M11" s="178"/>
      <c r="N11" s="32"/>
      <c r="O11" s="32"/>
      <c r="P11" s="32"/>
      <c r="Q11" s="32"/>
      <c r="R11" s="46"/>
      <c r="S11" s="24"/>
      <c r="T11" s="37"/>
      <c r="U11" s="37"/>
      <c r="V11" s="37"/>
      <c r="W11" s="32"/>
      <c r="X11" s="206"/>
      <c r="Z11" s="237">
        <f t="shared" si="6"/>
        <v>7.5221238938053103E-2</v>
      </c>
      <c r="AA11" s="237">
        <f t="shared" si="7"/>
        <v>0</v>
      </c>
      <c r="AB11" s="237" t="e">
        <f t="shared" si="8"/>
        <v>#DIV/0!</v>
      </c>
    </row>
    <row r="12" spans="1:28" s="33" customFormat="1" ht="13.8" thickBot="1" x14ac:dyDescent="0.3">
      <c r="A12" s="180"/>
      <c r="B12" s="180"/>
      <c r="C12" s="180"/>
      <c r="D12" s="180"/>
      <c r="E12" s="180"/>
      <c r="F12" s="181"/>
      <c r="G12" s="182"/>
      <c r="H12" s="182"/>
      <c r="I12" s="182"/>
      <c r="J12" s="182"/>
      <c r="K12" s="182"/>
      <c r="L12" s="182"/>
      <c r="M12" s="183"/>
      <c r="N12" s="184"/>
      <c r="O12" s="184"/>
      <c r="P12" s="184"/>
      <c r="Q12" s="184"/>
      <c r="R12" s="184"/>
      <c r="S12" s="184"/>
      <c r="T12" s="184"/>
      <c r="U12" s="184"/>
      <c r="V12" s="184"/>
      <c r="W12" s="32"/>
      <c r="X12" s="206"/>
      <c r="Z12" s="237"/>
      <c r="AA12" s="237"/>
      <c r="AB12" s="237"/>
    </row>
    <row r="13" spans="1:28" s="33" customFormat="1" ht="13.8" thickTop="1" x14ac:dyDescent="0.25">
      <c r="A13" s="26">
        <v>43</v>
      </c>
      <c r="B13" s="27"/>
      <c r="C13" s="28">
        <v>38647</v>
      </c>
      <c r="D13" s="29" t="s">
        <v>41</v>
      </c>
      <c r="E13" s="30">
        <v>38653</v>
      </c>
      <c r="F13" s="31"/>
      <c r="G13" s="154"/>
      <c r="H13" s="185"/>
      <c r="I13" s="185"/>
      <c r="J13" s="185"/>
      <c r="K13" s="37">
        <f>G13+I13</f>
        <v>0</v>
      </c>
      <c r="L13" s="37">
        <f>H13+J13</f>
        <v>0</v>
      </c>
      <c r="M13" s="186"/>
      <c r="N13" s="37"/>
      <c r="O13" s="154"/>
      <c r="P13" s="185"/>
      <c r="Q13" s="37"/>
      <c r="R13" s="46">
        <f t="shared" ref="R13:S21" si="13">N13+P13</f>
        <v>0</v>
      </c>
      <c r="S13" s="46">
        <f t="shared" si="13"/>
        <v>0</v>
      </c>
      <c r="T13" s="32"/>
      <c r="U13" s="37"/>
      <c r="V13" s="154"/>
      <c r="W13" s="32"/>
      <c r="X13" s="206">
        <f t="shared" ref="X13:X32" si="14">U13+R13+K13</f>
        <v>0</v>
      </c>
      <c r="Z13" s="237" t="e">
        <f t="shared" si="6"/>
        <v>#DIV/0!</v>
      </c>
      <c r="AA13" s="237" t="e">
        <f t="shared" si="7"/>
        <v>#DIV/0!</v>
      </c>
      <c r="AB13" s="237" t="e">
        <f t="shared" si="8"/>
        <v>#DIV/0!</v>
      </c>
    </row>
    <row r="14" spans="1:28" s="33" customFormat="1" x14ac:dyDescent="0.25">
      <c r="A14" s="26">
        <v>44</v>
      </c>
      <c r="B14" s="27"/>
      <c r="C14" s="28">
        <v>38654</v>
      </c>
      <c r="D14" s="29" t="s">
        <v>41</v>
      </c>
      <c r="E14" s="30">
        <v>38660</v>
      </c>
      <c r="F14" s="31"/>
      <c r="G14" s="37"/>
      <c r="H14" s="37"/>
      <c r="I14" s="37"/>
      <c r="J14" s="37"/>
      <c r="K14" s="37">
        <f t="shared" ref="K14:K32" si="15">G14+I14</f>
        <v>0</v>
      </c>
      <c r="L14" s="37">
        <f t="shared" ref="L14:L32" si="16">H14+J14</f>
        <v>0</v>
      </c>
      <c r="M14" s="186"/>
      <c r="N14" s="37"/>
      <c r="O14" s="37"/>
      <c r="P14" s="37"/>
      <c r="Q14" s="37"/>
      <c r="R14" s="46">
        <f t="shared" si="13"/>
        <v>0</v>
      </c>
      <c r="S14" s="46">
        <f t="shared" si="13"/>
        <v>0</v>
      </c>
      <c r="T14" s="32"/>
      <c r="U14" s="37"/>
      <c r="V14" s="37"/>
      <c r="W14" s="32"/>
      <c r="X14" s="206">
        <f t="shared" si="14"/>
        <v>0</v>
      </c>
      <c r="Z14" s="237" t="e">
        <f t="shared" si="6"/>
        <v>#DIV/0!</v>
      </c>
      <c r="AA14" s="237" t="e">
        <f t="shared" si="7"/>
        <v>#DIV/0!</v>
      </c>
      <c r="AB14" s="237" t="e">
        <f t="shared" si="8"/>
        <v>#DIV/0!</v>
      </c>
    </row>
    <row r="15" spans="1:28" s="33" customFormat="1" ht="15.6" x14ac:dyDescent="0.25">
      <c r="A15" s="26">
        <v>45</v>
      </c>
      <c r="B15" s="27"/>
      <c r="C15" s="28">
        <v>38661</v>
      </c>
      <c r="D15" s="29" t="s">
        <v>41</v>
      </c>
      <c r="E15" s="30">
        <v>38667</v>
      </c>
      <c r="F15" s="187"/>
      <c r="G15" s="37"/>
      <c r="H15" s="37"/>
      <c r="I15" s="37"/>
      <c r="J15" s="37"/>
      <c r="K15" s="37">
        <f t="shared" si="15"/>
        <v>0</v>
      </c>
      <c r="L15" s="37">
        <f t="shared" si="16"/>
        <v>0</v>
      </c>
      <c r="M15" s="186"/>
      <c r="N15" s="37"/>
      <c r="O15" s="37"/>
      <c r="P15" s="37"/>
      <c r="Q15" s="37"/>
      <c r="R15" s="46">
        <f t="shared" si="13"/>
        <v>0</v>
      </c>
      <c r="S15" s="46">
        <f t="shared" si="13"/>
        <v>0</v>
      </c>
      <c r="T15" s="32"/>
      <c r="U15" s="37"/>
      <c r="V15" s="37"/>
      <c r="W15" s="32"/>
      <c r="X15" s="206">
        <f t="shared" si="14"/>
        <v>0</v>
      </c>
      <c r="Z15" s="237" t="e">
        <f t="shared" si="6"/>
        <v>#DIV/0!</v>
      </c>
      <c r="AA15" s="237" t="e">
        <f t="shared" si="7"/>
        <v>#DIV/0!</v>
      </c>
      <c r="AB15" s="237" t="e">
        <f t="shared" si="8"/>
        <v>#DIV/0!</v>
      </c>
    </row>
    <row r="16" spans="1:28" s="33" customFormat="1" x14ac:dyDescent="0.25">
      <c r="A16" s="26">
        <v>46</v>
      </c>
      <c r="B16" s="27"/>
      <c r="C16" s="28">
        <v>38668</v>
      </c>
      <c r="D16" s="29" t="s">
        <v>41</v>
      </c>
      <c r="E16" s="30">
        <v>38674</v>
      </c>
      <c r="F16" s="31"/>
      <c r="G16" s="37"/>
      <c r="H16" s="37"/>
      <c r="I16" s="37"/>
      <c r="J16" s="37"/>
      <c r="K16" s="37">
        <f t="shared" si="15"/>
        <v>0</v>
      </c>
      <c r="L16" s="37">
        <f t="shared" si="16"/>
        <v>0</v>
      </c>
      <c r="M16" s="186"/>
      <c r="N16" s="37"/>
      <c r="O16" s="37"/>
      <c r="P16" s="37"/>
      <c r="Q16" s="37"/>
      <c r="R16" s="46">
        <f t="shared" ref="R16:R30" si="17">N16+P16</f>
        <v>0</v>
      </c>
      <c r="S16" s="46">
        <f t="shared" si="13"/>
        <v>0</v>
      </c>
      <c r="T16" s="32"/>
      <c r="U16" s="37"/>
      <c r="V16" s="37"/>
      <c r="W16" s="32"/>
      <c r="X16" s="206">
        <f t="shared" si="14"/>
        <v>0</v>
      </c>
      <c r="Z16" s="237" t="e">
        <f t="shared" si="6"/>
        <v>#DIV/0!</v>
      </c>
      <c r="AA16" s="237" t="e">
        <f t="shared" si="7"/>
        <v>#DIV/0!</v>
      </c>
      <c r="AB16" s="237" t="e">
        <f t="shared" si="8"/>
        <v>#DIV/0!</v>
      </c>
    </row>
    <row r="17" spans="1:28" s="33" customFormat="1" x14ac:dyDescent="0.25">
      <c r="A17" s="26">
        <v>47</v>
      </c>
      <c r="B17" s="27"/>
      <c r="C17" s="28">
        <v>38675</v>
      </c>
      <c r="D17" s="29" t="s">
        <v>41</v>
      </c>
      <c r="E17" s="30">
        <v>38681</v>
      </c>
      <c r="F17" s="31"/>
      <c r="G17" s="37"/>
      <c r="H17" s="37"/>
      <c r="I17" s="37"/>
      <c r="J17" s="37"/>
      <c r="K17" s="37">
        <f t="shared" si="15"/>
        <v>0</v>
      </c>
      <c r="L17" s="37">
        <f t="shared" si="16"/>
        <v>0</v>
      </c>
      <c r="M17" s="178"/>
      <c r="N17" s="37"/>
      <c r="O17" s="37"/>
      <c r="P17" s="37"/>
      <c r="Q17" s="37"/>
      <c r="R17" s="46">
        <f t="shared" si="17"/>
        <v>0</v>
      </c>
      <c r="S17" s="46">
        <f t="shared" si="13"/>
        <v>0</v>
      </c>
      <c r="T17" s="37"/>
      <c r="U17" s="37"/>
      <c r="V17" s="37"/>
      <c r="W17" s="32"/>
      <c r="X17" s="206">
        <f t="shared" si="14"/>
        <v>0</v>
      </c>
      <c r="Z17" s="237" t="e">
        <f t="shared" si="6"/>
        <v>#DIV/0!</v>
      </c>
      <c r="AA17" s="237" t="e">
        <f t="shared" si="7"/>
        <v>#DIV/0!</v>
      </c>
      <c r="AB17" s="237" t="e">
        <f t="shared" si="8"/>
        <v>#DIV/0!</v>
      </c>
    </row>
    <row r="18" spans="1:28" s="33" customFormat="1" x14ac:dyDescent="0.25">
      <c r="A18" s="26">
        <v>48</v>
      </c>
      <c r="B18" s="27"/>
      <c r="C18" s="28">
        <v>38682</v>
      </c>
      <c r="D18" s="29" t="s">
        <v>41</v>
      </c>
      <c r="E18" s="30">
        <v>38688</v>
      </c>
      <c r="F18" s="31"/>
      <c r="G18" s="37"/>
      <c r="H18" s="37"/>
      <c r="I18" s="37"/>
      <c r="J18" s="37"/>
      <c r="K18" s="37">
        <f t="shared" si="15"/>
        <v>0</v>
      </c>
      <c r="L18" s="37">
        <f t="shared" si="16"/>
        <v>0</v>
      </c>
      <c r="M18" s="178"/>
      <c r="N18" s="37"/>
      <c r="O18" s="37"/>
      <c r="P18" s="37"/>
      <c r="Q18" s="37"/>
      <c r="R18" s="46">
        <f t="shared" si="17"/>
        <v>0</v>
      </c>
      <c r="S18" s="46">
        <f t="shared" si="13"/>
        <v>0</v>
      </c>
      <c r="T18" s="37"/>
      <c r="U18" s="37"/>
      <c r="V18" s="37"/>
      <c r="W18" s="32"/>
      <c r="X18" s="206">
        <f t="shared" si="14"/>
        <v>0</v>
      </c>
      <c r="Z18" s="237" t="e">
        <f t="shared" si="6"/>
        <v>#DIV/0!</v>
      </c>
      <c r="AA18" s="237" t="e">
        <f t="shared" si="7"/>
        <v>#DIV/0!</v>
      </c>
      <c r="AB18" s="237" t="e">
        <f t="shared" si="8"/>
        <v>#DIV/0!</v>
      </c>
    </row>
    <row r="19" spans="1:28" s="33" customFormat="1" x14ac:dyDescent="0.25">
      <c r="A19" s="26">
        <v>49</v>
      </c>
      <c r="B19" s="27"/>
      <c r="C19" s="28">
        <v>38689</v>
      </c>
      <c r="D19" s="29" t="s">
        <v>41</v>
      </c>
      <c r="E19" s="30">
        <v>38695</v>
      </c>
      <c r="F19" s="31"/>
      <c r="G19" s="37"/>
      <c r="H19" s="37"/>
      <c r="I19" s="37"/>
      <c r="J19" s="37"/>
      <c r="K19" s="37">
        <f t="shared" si="15"/>
        <v>0</v>
      </c>
      <c r="L19" s="37">
        <f t="shared" si="16"/>
        <v>0</v>
      </c>
      <c r="M19" s="178"/>
      <c r="N19" s="37"/>
      <c r="O19" s="37"/>
      <c r="P19" s="37"/>
      <c r="Q19" s="37"/>
      <c r="R19" s="37">
        <f t="shared" si="17"/>
        <v>0</v>
      </c>
      <c r="S19" s="46">
        <f t="shared" si="13"/>
        <v>0</v>
      </c>
      <c r="T19" s="37"/>
      <c r="U19" s="37"/>
      <c r="V19" s="37"/>
      <c r="W19" s="32"/>
      <c r="X19" s="206">
        <f t="shared" si="14"/>
        <v>0</v>
      </c>
      <c r="Z19" s="237" t="e">
        <f t="shared" si="6"/>
        <v>#DIV/0!</v>
      </c>
      <c r="AA19" s="237" t="e">
        <f t="shared" si="7"/>
        <v>#DIV/0!</v>
      </c>
      <c r="AB19" s="237" t="e">
        <f t="shared" si="8"/>
        <v>#DIV/0!</v>
      </c>
    </row>
    <row r="20" spans="1:28" s="33" customFormat="1" x14ac:dyDescent="0.25">
      <c r="A20" s="26">
        <v>50</v>
      </c>
      <c r="B20" s="27"/>
      <c r="C20" s="28">
        <v>38696</v>
      </c>
      <c r="D20" s="29" t="s">
        <v>41</v>
      </c>
      <c r="E20" s="30">
        <v>38702</v>
      </c>
      <c r="F20" s="31"/>
      <c r="G20" s="37"/>
      <c r="H20" s="37"/>
      <c r="I20" s="37"/>
      <c r="J20" s="37"/>
      <c r="K20" s="37">
        <f t="shared" si="15"/>
        <v>0</v>
      </c>
      <c r="L20" s="37">
        <f t="shared" si="16"/>
        <v>0</v>
      </c>
      <c r="M20" s="178"/>
      <c r="N20" s="37"/>
      <c r="O20" s="37"/>
      <c r="P20" s="37"/>
      <c r="Q20" s="37"/>
      <c r="R20" s="37">
        <f t="shared" si="17"/>
        <v>0</v>
      </c>
      <c r="S20" s="46">
        <f t="shared" si="13"/>
        <v>0</v>
      </c>
      <c r="T20" s="37"/>
      <c r="U20" s="37"/>
      <c r="V20" s="37"/>
      <c r="W20" s="32"/>
      <c r="X20" s="206">
        <f t="shared" si="14"/>
        <v>0</v>
      </c>
      <c r="Z20" s="237" t="e">
        <f t="shared" si="6"/>
        <v>#DIV/0!</v>
      </c>
      <c r="AA20" s="237" t="e">
        <f t="shared" si="7"/>
        <v>#DIV/0!</v>
      </c>
      <c r="AB20" s="237" t="e">
        <f t="shared" si="8"/>
        <v>#DIV/0!</v>
      </c>
    </row>
    <row r="21" spans="1:28" s="33" customFormat="1" x14ac:dyDescent="0.25">
      <c r="A21" s="26">
        <v>51</v>
      </c>
      <c r="B21" s="27"/>
      <c r="C21" s="28">
        <v>38703</v>
      </c>
      <c r="D21" s="29" t="s">
        <v>41</v>
      </c>
      <c r="E21" s="30">
        <v>38709</v>
      </c>
      <c r="F21" s="31"/>
      <c r="G21" s="37"/>
      <c r="H21" s="37"/>
      <c r="I21" s="37"/>
      <c r="J21" s="37"/>
      <c r="K21" s="37">
        <f t="shared" ref="K21:K25" si="18">G21+I21</f>
        <v>0</v>
      </c>
      <c r="L21" s="37">
        <f t="shared" ref="L21:L25" si="19">H21+J21</f>
        <v>0</v>
      </c>
      <c r="M21" s="178"/>
      <c r="N21" s="37"/>
      <c r="O21" s="37"/>
      <c r="P21" s="37"/>
      <c r="Q21" s="37"/>
      <c r="R21" s="37">
        <f t="shared" si="17"/>
        <v>0</v>
      </c>
      <c r="S21" s="46">
        <f t="shared" si="13"/>
        <v>0</v>
      </c>
      <c r="T21" s="37"/>
      <c r="U21" s="37"/>
      <c r="V21" s="37"/>
      <c r="W21" s="32"/>
      <c r="X21" s="206">
        <f t="shared" si="14"/>
        <v>0</v>
      </c>
      <c r="Z21" s="237" t="e">
        <f t="shared" si="6"/>
        <v>#DIV/0!</v>
      </c>
      <c r="AA21" s="237" t="e">
        <f t="shared" si="7"/>
        <v>#DIV/0!</v>
      </c>
      <c r="AB21" s="237" t="e">
        <f t="shared" si="8"/>
        <v>#DIV/0!</v>
      </c>
    </row>
    <row r="22" spans="1:28" s="33" customFormat="1" x14ac:dyDescent="0.25">
      <c r="A22" s="26">
        <v>52</v>
      </c>
      <c r="B22" s="27"/>
      <c r="C22" s="28">
        <v>38710</v>
      </c>
      <c r="D22" s="29" t="s">
        <v>41</v>
      </c>
      <c r="E22" s="30">
        <v>38717</v>
      </c>
      <c r="F22" s="31"/>
      <c r="G22" s="238"/>
      <c r="H22" s="238"/>
      <c r="I22" s="238"/>
      <c r="J22" s="238"/>
      <c r="K22" s="37">
        <f t="shared" si="18"/>
        <v>0</v>
      </c>
      <c r="L22" s="37">
        <f t="shared" si="19"/>
        <v>0</v>
      </c>
      <c r="M22" s="178"/>
      <c r="N22" s="238"/>
      <c r="O22" s="238"/>
      <c r="P22" s="238"/>
      <c r="Q22" s="238"/>
      <c r="R22" s="37">
        <f t="shared" ref="R22:R27" si="20">N22+P22</f>
        <v>0</v>
      </c>
      <c r="S22" s="46">
        <f t="shared" ref="S22:S27" si="21">O22+Q22</f>
        <v>0</v>
      </c>
      <c r="T22" s="37"/>
      <c r="U22" s="238"/>
      <c r="V22" s="238"/>
      <c r="W22" s="32"/>
      <c r="X22" s="206">
        <f t="shared" si="14"/>
        <v>0</v>
      </c>
      <c r="Z22" s="237" t="e">
        <f t="shared" si="6"/>
        <v>#DIV/0!</v>
      </c>
      <c r="AA22" s="237" t="e">
        <f t="shared" si="7"/>
        <v>#DIV/0!</v>
      </c>
      <c r="AB22" s="237" t="e">
        <f t="shared" si="8"/>
        <v>#DIV/0!</v>
      </c>
    </row>
    <row r="23" spans="1:28" s="33" customFormat="1" x14ac:dyDescent="0.25">
      <c r="A23" s="26">
        <v>1</v>
      </c>
      <c r="B23" s="27"/>
      <c r="C23" s="28">
        <v>39814</v>
      </c>
      <c r="D23" s="29" t="s">
        <v>41</v>
      </c>
      <c r="E23" s="30">
        <v>38724</v>
      </c>
      <c r="F23" s="31"/>
      <c r="G23" s="37"/>
      <c r="H23" s="37"/>
      <c r="I23" s="37"/>
      <c r="J23" s="37"/>
      <c r="K23" s="37">
        <f t="shared" si="18"/>
        <v>0</v>
      </c>
      <c r="L23" s="37">
        <f t="shared" si="19"/>
        <v>0</v>
      </c>
      <c r="M23" s="178"/>
      <c r="N23" s="37"/>
      <c r="O23" s="37"/>
      <c r="P23" s="37"/>
      <c r="Q23" s="37"/>
      <c r="R23" s="37">
        <f t="shared" si="20"/>
        <v>0</v>
      </c>
      <c r="S23" s="46">
        <f t="shared" si="21"/>
        <v>0</v>
      </c>
      <c r="T23" s="37"/>
      <c r="U23" s="37"/>
      <c r="V23" s="37"/>
      <c r="W23" s="32"/>
      <c r="X23" s="206">
        <f t="shared" si="14"/>
        <v>0</v>
      </c>
      <c r="Z23" s="237" t="e">
        <f t="shared" si="6"/>
        <v>#DIV/0!</v>
      </c>
      <c r="AA23" s="237" t="e">
        <f t="shared" si="7"/>
        <v>#DIV/0!</v>
      </c>
      <c r="AB23" s="237" t="e">
        <f t="shared" si="8"/>
        <v>#DIV/0!</v>
      </c>
    </row>
    <row r="24" spans="1:28" s="33" customFormat="1" x14ac:dyDescent="0.25">
      <c r="A24" s="26">
        <v>2</v>
      </c>
      <c r="B24" s="27"/>
      <c r="C24" s="28">
        <v>39821</v>
      </c>
      <c r="D24" s="29" t="s">
        <v>41</v>
      </c>
      <c r="E24" s="30">
        <v>38731</v>
      </c>
      <c r="F24" s="31"/>
      <c r="G24" s="37"/>
      <c r="H24" s="37"/>
      <c r="I24" s="37"/>
      <c r="J24" s="37"/>
      <c r="K24" s="37">
        <f t="shared" si="18"/>
        <v>0</v>
      </c>
      <c r="L24" s="37">
        <f t="shared" si="19"/>
        <v>0</v>
      </c>
      <c r="M24" s="178"/>
      <c r="N24" s="37"/>
      <c r="O24" s="37"/>
      <c r="P24" s="37"/>
      <c r="Q24" s="37"/>
      <c r="R24" s="37">
        <f t="shared" si="20"/>
        <v>0</v>
      </c>
      <c r="S24" s="46">
        <f t="shared" si="21"/>
        <v>0</v>
      </c>
      <c r="T24" s="37"/>
      <c r="U24" s="37"/>
      <c r="V24" s="37"/>
      <c r="W24" s="32"/>
      <c r="X24" s="206">
        <f t="shared" si="14"/>
        <v>0</v>
      </c>
      <c r="Z24" s="237" t="e">
        <f t="shared" si="6"/>
        <v>#DIV/0!</v>
      </c>
      <c r="AA24" s="237" t="e">
        <f t="shared" si="7"/>
        <v>#DIV/0!</v>
      </c>
      <c r="AB24" s="237" t="e">
        <f t="shared" si="8"/>
        <v>#DIV/0!</v>
      </c>
    </row>
    <row r="25" spans="1:28" s="33" customFormat="1" x14ac:dyDescent="0.25">
      <c r="A25" s="26">
        <v>3</v>
      </c>
      <c r="B25" s="27"/>
      <c r="C25" s="28">
        <v>39828</v>
      </c>
      <c r="D25" s="29" t="s">
        <v>41</v>
      </c>
      <c r="E25" s="30">
        <v>38738</v>
      </c>
      <c r="F25" s="31"/>
      <c r="G25" s="37"/>
      <c r="H25" s="37"/>
      <c r="I25" s="37"/>
      <c r="J25" s="37"/>
      <c r="K25" s="37">
        <f t="shared" si="18"/>
        <v>0</v>
      </c>
      <c r="L25" s="37">
        <f t="shared" si="19"/>
        <v>0</v>
      </c>
      <c r="M25" s="178"/>
      <c r="N25" s="37"/>
      <c r="O25" s="37"/>
      <c r="P25" s="37"/>
      <c r="Q25" s="37"/>
      <c r="R25" s="37">
        <f t="shared" si="20"/>
        <v>0</v>
      </c>
      <c r="S25" s="46">
        <f t="shared" si="21"/>
        <v>0</v>
      </c>
      <c r="T25" s="37"/>
      <c r="U25" s="37"/>
      <c r="V25" s="37"/>
      <c r="W25" s="32"/>
      <c r="X25" s="206">
        <f t="shared" si="14"/>
        <v>0</v>
      </c>
      <c r="Z25" s="237" t="e">
        <f t="shared" si="6"/>
        <v>#DIV/0!</v>
      </c>
      <c r="AA25" s="237" t="e">
        <f t="shared" si="7"/>
        <v>#DIV/0!</v>
      </c>
      <c r="AB25" s="237" t="e">
        <f t="shared" si="8"/>
        <v>#DIV/0!</v>
      </c>
    </row>
    <row r="26" spans="1:28" s="33" customFormat="1" x14ac:dyDescent="0.25">
      <c r="A26" s="26">
        <v>4</v>
      </c>
      <c r="B26" s="27"/>
      <c r="C26" s="28">
        <v>39835</v>
      </c>
      <c r="D26" s="29" t="s">
        <v>41</v>
      </c>
      <c r="E26" s="30">
        <v>38745</v>
      </c>
      <c r="F26" s="31"/>
      <c r="G26" s="37"/>
      <c r="H26" s="37"/>
      <c r="I26" s="37"/>
      <c r="J26" s="37"/>
      <c r="K26" s="37">
        <f t="shared" si="15"/>
        <v>0</v>
      </c>
      <c r="L26" s="37">
        <f t="shared" si="16"/>
        <v>0</v>
      </c>
      <c r="M26" s="186"/>
      <c r="N26" s="37"/>
      <c r="O26" s="37"/>
      <c r="P26" s="37"/>
      <c r="Q26" s="37"/>
      <c r="R26" s="37">
        <f t="shared" si="20"/>
        <v>0</v>
      </c>
      <c r="S26" s="46">
        <f t="shared" si="21"/>
        <v>0</v>
      </c>
      <c r="T26" s="32"/>
      <c r="U26" s="37"/>
      <c r="V26" s="37"/>
      <c r="W26" s="32"/>
      <c r="X26" s="206">
        <f t="shared" si="14"/>
        <v>0</v>
      </c>
      <c r="Z26" s="237" t="e">
        <f t="shared" si="6"/>
        <v>#DIV/0!</v>
      </c>
      <c r="AA26" s="237" t="e">
        <f t="shared" si="7"/>
        <v>#DIV/0!</v>
      </c>
      <c r="AB26" s="237" t="e">
        <f t="shared" si="8"/>
        <v>#DIV/0!</v>
      </c>
    </row>
    <row r="27" spans="1:28" s="33" customFormat="1" x14ac:dyDescent="0.25">
      <c r="A27" s="26">
        <v>5</v>
      </c>
      <c r="B27" s="27"/>
      <c r="C27" s="28">
        <v>39842</v>
      </c>
      <c r="D27" s="29" t="s">
        <v>41</v>
      </c>
      <c r="E27" s="30">
        <v>38752</v>
      </c>
      <c r="F27" s="31"/>
      <c r="G27" s="37"/>
      <c r="H27" s="37"/>
      <c r="I27" s="37"/>
      <c r="J27" s="37"/>
      <c r="K27" s="37">
        <f t="shared" si="15"/>
        <v>0</v>
      </c>
      <c r="L27" s="37">
        <f t="shared" si="16"/>
        <v>0</v>
      </c>
      <c r="M27" s="186"/>
      <c r="N27" s="37"/>
      <c r="O27" s="37"/>
      <c r="P27" s="37"/>
      <c r="Q27" s="37"/>
      <c r="R27" s="37">
        <f t="shared" si="20"/>
        <v>0</v>
      </c>
      <c r="S27" s="46">
        <f t="shared" si="21"/>
        <v>0</v>
      </c>
      <c r="T27" s="32"/>
      <c r="U27" s="37"/>
      <c r="V27" s="37"/>
      <c r="W27" s="32"/>
      <c r="X27" s="206">
        <f t="shared" si="14"/>
        <v>0</v>
      </c>
      <c r="Z27" s="237" t="e">
        <f t="shared" si="6"/>
        <v>#DIV/0!</v>
      </c>
      <c r="AA27" s="237" t="e">
        <f t="shared" si="7"/>
        <v>#DIV/0!</v>
      </c>
      <c r="AB27" s="237" t="e">
        <f t="shared" si="8"/>
        <v>#DIV/0!</v>
      </c>
    </row>
    <row r="28" spans="1:28" s="33" customFormat="1" x14ac:dyDescent="0.25">
      <c r="A28" s="26">
        <v>6</v>
      </c>
      <c r="B28" s="27"/>
      <c r="C28" s="28">
        <v>39849</v>
      </c>
      <c r="D28" s="29" t="s">
        <v>41</v>
      </c>
      <c r="E28" s="30">
        <v>38759</v>
      </c>
      <c r="F28" s="31"/>
      <c r="G28" s="37"/>
      <c r="H28" s="37"/>
      <c r="I28" s="37"/>
      <c r="J28" s="37"/>
      <c r="K28" s="37">
        <f t="shared" si="15"/>
        <v>0</v>
      </c>
      <c r="L28" s="37">
        <f t="shared" si="16"/>
        <v>0</v>
      </c>
      <c r="M28" s="186"/>
      <c r="N28" s="37"/>
      <c r="O28" s="37"/>
      <c r="P28" s="37"/>
      <c r="Q28" s="37"/>
      <c r="R28" s="37">
        <f t="shared" si="17"/>
        <v>0</v>
      </c>
      <c r="S28" s="37">
        <f t="shared" ref="S28:S29" si="22">O28+Q28</f>
        <v>0</v>
      </c>
      <c r="T28" s="32"/>
      <c r="U28" s="37"/>
      <c r="V28" s="37"/>
      <c r="W28" s="32"/>
      <c r="X28" s="206">
        <f t="shared" si="14"/>
        <v>0</v>
      </c>
      <c r="Z28" s="237" t="e">
        <f t="shared" si="6"/>
        <v>#DIV/0!</v>
      </c>
      <c r="AA28" s="237" t="e">
        <f t="shared" si="7"/>
        <v>#DIV/0!</v>
      </c>
      <c r="AB28" s="237" t="e">
        <f t="shared" si="8"/>
        <v>#DIV/0!</v>
      </c>
    </row>
    <row r="29" spans="1:28" s="33" customFormat="1" x14ac:dyDescent="0.25">
      <c r="A29" s="26">
        <v>7</v>
      </c>
      <c r="B29" s="27"/>
      <c r="C29" s="28">
        <v>39856</v>
      </c>
      <c r="D29" s="29" t="s">
        <v>41</v>
      </c>
      <c r="E29" s="30">
        <v>38766</v>
      </c>
      <c r="F29" s="31"/>
      <c r="G29" s="37"/>
      <c r="H29" s="37"/>
      <c r="I29" s="37"/>
      <c r="J29" s="37"/>
      <c r="K29" s="37">
        <f t="shared" si="15"/>
        <v>0</v>
      </c>
      <c r="L29" s="37">
        <f t="shared" si="16"/>
        <v>0</v>
      </c>
      <c r="M29" s="186"/>
      <c r="N29" s="37"/>
      <c r="O29" s="37"/>
      <c r="P29" s="37"/>
      <c r="Q29" s="37"/>
      <c r="R29" s="37">
        <f t="shared" si="17"/>
        <v>0</v>
      </c>
      <c r="S29" s="37">
        <f t="shared" si="22"/>
        <v>0</v>
      </c>
      <c r="T29" s="32"/>
      <c r="U29" s="37"/>
      <c r="V29" s="37"/>
      <c r="W29" s="32"/>
      <c r="X29" s="206">
        <f t="shared" si="14"/>
        <v>0</v>
      </c>
      <c r="Z29" s="237" t="e">
        <f t="shared" si="6"/>
        <v>#DIV/0!</v>
      </c>
      <c r="AA29" s="237" t="e">
        <f t="shared" si="7"/>
        <v>#DIV/0!</v>
      </c>
      <c r="AB29" s="237" t="e">
        <f t="shared" si="8"/>
        <v>#DIV/0!</v>
      </c>
    </row>
    <row r="30" spans="1:28" s="33" customFormat="1" x14ac:dyDescent="0.25">
      <c r="A30" s="26">
        <v>8</v>
      </c>
      <c r="B30" s="27"/>
      <c r="C30" s="28">
        <v>39863</v>
      </c>
      <c r="D30" s="29" t="s">
        <v>41</v>
      </c>
      <c r="E30" s="30">
        <v>38773</v>
      </c>
      <c r="F30" s="31"/>
      <c r="G30" s="37"/>
      <c r="H30" s="37"/>
      <c r="I30" s="37"/>
      <c r="J30" s="37"/>
      <c r="K30" s="37">
        <f t="shared" si="15"/>
        <v>0</v>
      </c>
      <c r="L30" s="37">
        <f t="shared" si="16"/>
        <v>0</v>
      </c>
      <c r="M30" s="186"/>
      <c r="N30" s="37"/>
      <c r="O30" s="37"/>
      <c r="P30" s="37"/>
      <c r="Q30" s="37"/>
      <c r="R30" s="37">
        <f t="shared" si="17"/>
        <v>0</v>
      </c>
      <c r="S30" s="37">
        <v>0</v>
      </c>
      <c r="T30" s="32"/>
      <c r="U30" s="37"/>
      <c r="V30" s="37"/>
      <c r="W30" s="193"/>
      <c r="X30" s="206">
        <f t="shared" si="14"/>
        <v>0</v>
      </c>
      <c r="Z30" s="237" t="e">
        <f t="shared" si="6"/>
        <v>#DIV/0!</v>
      </c>
      <c r="AA30" s="237" t="e">
        <f t="shared" si="7"/>
        <v>#DIV/0!</v>
      </c>
      <c r="AB30" s="237" t="e">
        <f t="shared" si="8"/>
        <v>#DIV/0!</v>
      </c>
    </row>
    <row r="31" spans="1:28" s="33" customFormat="1" x14ac:dyDescent="0.25">
      <c r="A31" s="26">
        <v>9</v>
      </c>
      <c r="B31" s="27"/>
      <c r="C31" s="28">
        <v>39870</v>
      </c>
      <c r="D31" s="29" t="s">
        <v>41</v>
      </c>
      <c r="E31" s="30">
        <v>38780</v>
      </c>
      <c r="F31" s="31"/>
      <c r="G31" s="37"/>
      <c r="H31" s="37"/>
      <c r="I31" s="37"/>
      <c r="J31" s="37"/>
      <c r="K31" s="37">
        <f t="shared" si="15"/>
        <v>0</v>
      </c>
      <c r="L31" s="37">
        <f t="shared" si="16"/>
        <v>0</v>
      </c>
      <c r="M31" s="186"/>
      <c r="N31" s="37"/>
      <c r="O31" s="37"/>
      <c r="P31" s="37"/>
      <c r="Q31" s="37"/>
      <c r="R31" s="37">
        <f>N31+P31</f>
        <v>0</v>
      </c>
      <c r="S31" s="37">
        <v>0</v>
      </c>
      <c r="T31" s="32"/>
      <c r="U31" s="37"/>
      <c r="V31" s="37"/>
      <c r="W31" s="32"/>
      <c r="X31" s="206">
        <f t="shared" si="14"/>
        <v>0</v>
      </c>
      <c r="Z31" s="237" t="e">
        <f t="shared" si="6"/>
        <v>#DIV/0!</v>
      </c>
      <c r="AA31" s="237" t="e">
        <f t="shared" si="7"/>
        <v>#DIV/0!</v>
      </c>
      <c r="AB31" s="237" t="e">
        <f t="shared" si="8"/>
        <v>#DIV/0!</v>
      </c>
    </row>
    <row r="32" spans="1:28" s="33" customFormat="1" x14ac:dyDescent="0.25">
      <c r="A32" s="26">
        <v>10</v>
      </c>
      <c r="B32" s="27"/>
      <c r="C32" s="28">
        <v>39877</v>
      </c>
      <c r="D32" s="29" t="s">
        <v>41</v>
      </c>
      <c r="E32" s="30">
        <v>38787</v>
      </c>
      <c r="F32" s="31"/>
      <c r="G32" s="37"/>
      <c r="H32" s="37"/>
      <c r="I32" s="37"/>
      <c r="J32" s="37"/>
      <c r="K32" s="37">
        <f t="shared" si="15"/>
        <v>0</v>
      </c>
      <c r="L32" s="37">
        <f t="shared" si="16"/>
        <v>0</v>
      </c>
      <c r="M32" s="186"/>
      <c r="N32" s="37"/>
      <c r="O32" s="37"/>
      <c r="P32" s="37"/>
      <c r="Q32" s="37"/>
      <c r="R32" s="37">
        <f>N32+P32</f>
        <v>0</v>
      </c>
      <c r="S32" s="37">
        <v>0</v>
      </c>
      <c r="T32" s="32"/>
      <c r="U32" s="37"/>
      <c r="V32" s="37"/>
      <c r="W32" s="32"/>
      <c r="X32" s="206">
        <f t="shared" si="14"/>
        <v>0</v>
      </c>
      <c r="Z32" s="237" t="e">
        <f t="shared" si="6"/>
        <v>#DIV/0!</v>
      </c>
      <c r="AA32" s="237" t="e">
        <f t="shared" si="7"/>
        <v>#DIV/0!</v>
      </c>
      <c r="AB32" s="237" t="e">
        <f t="shared" si="8"/>
        <v>#DIV/0!</v>
      </c>
    </row>
    <row r="33" spans="1:28" s="33" customFormat="1" x14ac:dyDescent="0.25">
      <c r="A33" s="73" t="s">
        <v>144</v>
      </c>
      <c r="B33" s="73"/>
      <c r="C33" s="73"/>
      <c r="D33" s="73"/>
      <c r="E33" s="73"/>
      <c r="F33" s="73"/>
      <c r="G33" s="37">
        <f t="shared" ref="G33:L33" si="23">SUM(G13:G32)</f>
        <v>0</v>
      </c>
      <c r="H33" s="37">
        <f t="shared" si="23"/>
        <v>0</v>
      </c>
      <c r="I33" s="37">
        <f t="shared" si="23"/>
        <v>0</v>
      </c>
      <c r="J33" s="37">
        <f t="shared" si="23"/>
        <v>0</v>
      </c>
      <c r="K33" s="46">
        <f t="shared" si="23"/>
        <v>0</v>
      </c>
      <c r="L33" s="46">
        <f t="shared" si="23"/>
        <v>0</v>
      </c>
      <c r="M33" s="186"/>
      <c r="N33" s="32"/>
      <c r="O33" s="32"/>
      <c r="P33" s="32"/>
      <c r="Q33" s="32"/>
      <c r="R33" s="37"/>
      <c r="S33" s="37"/>
      <c r="T33" s="32"/>
      <c r="U33" s="32"/>
      <c r="V33" s="32"/>
      <c r="W33" s="32"/>
      <c r="Z33" s="252"/>
      <c r="AA33" s="252"/>
      <c r="AB33" s="253"/>
    </row>
    <row r="34" spans="1:28" s="190" customFormat="1" x14ac:dyDescent="0.25">
      <c r="A34" s="188" t="s">
        <v>143</v>
      </c>
      <c r="B34" s="188"/>
      <c r="C34" s="188"/>
      <c r="D34" s="188"/>
      <c r="E34" s="188"/>
      <c r="F34" s="188"/>
      <c r="G34" s="166">
        <f t="shared" ref="G34:L34" si="24">G11+G33</f>
        <v>64</v>
      </c>
      <c r="H34" s="166">
        <f t="shared" si="24"/>
        <v>3</v>
      </c>
      <c r="I34" s="166">
        <f t="shared" si="24"/>
        <v>162</v>
      </c>
      <c r="J34" s="166">
        <f t="shared" si="24"/>
        <v>14</v>
      </c>
      <c r="K34" s="166">
        <f t="shared" si="24"/>
        <v>226</v>
      </c>
      <c r="L34" s="166">
        <f t="shared" si="24"/>
        <v>17</v>
      </c>
      <c r="M34" s="189"/>
      <c r="N34" s="166">
        <f t="shared" ref="N34:V34" si="25">SUM(N5:N33)</f>
        <v>0</v>
      </c>
      <c r="O34" s="166">
        <f t="shared" si="25"/>
        <v>0</v>
      </c>
      <c r="P34" s="166">
        <f t="shared" si="25"/>
        <v>0</v>
      </c>
      <c r="Q34" s="166">
        <f t="shared" si="25"/>
        <v>0</v>
      </c>
      <c r="R34" s="166">
        <f t="shared" si="25"/>
        <v>0</v>
      </c>
      <c r="S34" s="166">
        <f t="shared" si="25"/>
        <v>0</v>
      </c>
      <c r="T34" s="166"/>
      <c r="U34" s="166">
        <f t="shared" si="25"/>
        <v>3</v>
      </c>
      <c r="V34" s="166">
        <f t="shared" si="25"/>
        <v>3</v>
      </c>
      <c r="W34" s="167"/>
      <c r="X34" s="240">
        <f>SUM(X5:X33)</f>
        <v>229</v>
      </c>
      <c r="Z34" s="254">
        <f t="shared" ref="Z34" si="26">L34/K34</f>
        <v>7.5221238938053103E-2</v>
      </c>
      <c r="AA34" s="254" t="e">
        <f t="shared" ref="AA34" si="27">S34/R34</f>
        <v>#DIV/0!</v>
      </c>
      <c r="AB34" s="255">
        <f t="shared" ref="AB34" si="28">V34/U34</f>
        <v>1</v>
      </c>
    </row>
    <row r="35" spans="1:28" x14ac:dyDescent="0.25">
      <c r="A35"/>
      <c r="B35"/>
      <c r="C35"/>
      <c r="D35"/>
      <c r="E35"/>
    </row>
    <row r="36" spans="1:28" s="33" customFormat="1" ht="15.6" x14ac:dyDescent="0.25">
      <c r="A36" s="73" t="s">
        <v>142</v>
      </c>
      <c r="B36" s="73"/>
      <c r="C36" s="73"/>
      <c r="D36" s="73"/>
      <c r="E36" s="73"/>
      <c r="F36" s="73"/>
      <c r="G36" s="37">
        <v>417</v>
      </c>
      <c r="H36" s="37">
        <v>0</v>
      </c>
      <c r="I36" s="37">
        <v>7287</v>
      </c>
      <c r="J36" s="37">
        <v>1630</v>
      </c>
      <c r="K36" s="37">
        <v>7973</v>
      </c>
      <c r="L36" s="37">
        <v>1630</v>
      </c>
      <c r="M36" s="186"/>
      <c r="N36" s="37">
        <v>148</v>
      </c>
      <c r="O36" s="37">
        <v>147</v>
      </c>
      <c r="P36" s="37">
        <v>2234</v>
      </c>
      <c r="Q36" s="37">
        <v>2168</v>
      </c>
      <c r="R36" s="37">
        <f>N36+P36</f>
        <v>2382</v>
      </c>
      <c r="S36" s="37">
        <f>O36+Q36</f>
        <v>2315</v>
      </c>
      <c r="T36" s="186"/>
      <c r="U36" s="37">
        <v>1433</v>
      </c>
      <c r="V36" s="37">
        <v>1362</v>
      </c>
      <c r="W36" s="32"/>
      <c r="X36" s="33">
        <v>11789</v>
      </c>
      <c r="Z36" s="256">
        <v>0.20443998494920357</v>
      </c>
      <c r="AA36" s="256">
        <v>0.97188417960553919</v>
      </c>
      <c r="AB36" s="257">
        <v>0.95045359385903694</v>
      </c>
    </row>
    <row r="37" spans="1:28" s="33" customFormat="1" ht="15.6" x14ac:dyDescent="0.25">
      <c r="A37" s="73" t="s">
        <v>125</v>
      </c>
      <c r="B37" s="73"/>
      <c r="C37" s="73"/>
      <c r="D37" s="73"/>
      <c r="E37" s="73"/>
      <c r="F37" s="73"/>
      <c r="G37" s="37">
        <v>3555</v>
      </c>
      <c r="H37" s="37">
        <v>751</v>
      </c>
      <c r="I37" s="37">
        <v>4808</v>
      </c>
      <c r="J37" s="37">
        <v>1068</v>
      </c>
      <c r="K37" s="37">
        <v>8363</v>
      </c>
      <c r="L37" s="37">
        <v>1819</v>
      </c>
      <c r="M37" s="186"/>
      <c r="N37" s="37">
        <v>1375</v>
      </c>
      <c r="O37" s="37">
        <v>1357</v>
      </c>
      <c r="P37" s="37">
        <v>959</v>
      </c>
      <c r="Q37" s="37">
        <v>922</v>
      </c>
      <c r="R37" s="37">
        <v>2333</v>
      </c>
      <c r="S37" s="37">
        <v>2279</v>
      </c>
      <c r="T37" s="186"/>
      <c r="U37" s="37">
        <v>590</v>
      </c>
      <c r="V37" s="37">
        <v>558</v>
      </c>
      <c r="W37" s="32"/>
      <c r="Z37" s="258">
        <f t="shared" ref="Z37:Z42" si="29">L37/K37</f>
        <v>0.21750567977998325</v>
      </c>
      <c r="AA37" s="258">
        <f t="shared" ref="AA37:AA42" si="30">S37/R37</f>
        <v>0.97685383626232314</v>
      </c>
      <c r="AB37" s="259">
        <f t="shared" ref="AB37:AB42" si="31">V37/U37</f>
        <v>0.94576271186440675</v>
      </c>
    </row>
    <row r="38" spans="1:28" s="33" customFormat="1" ht="15.6" x14ac:dyDescent="0.25">
      <c r="A38" s="73" t="s">
        <v>112</v>
      </c>
      <c r="B38" s="73"/>
      <c r="C38" s="73"/>
      <c r="D38" s="73"/>
      <c r="E38" s="73"/>
      <c r="F38" s="73"/>
      <c r="G38" s="37">
        <v>297</v>
      </c>
      <c r="H38" s="37">
        <v>64</v>
      </c>
      <c r="I38" s="37">
        <v>5767</v>
      </c>
      <c r="J38" s="37">
        <v>1288</v>
      </c>
      <c r="K38" s="37">
        <f>G38+I38</f>
        <v>6064</v>
      </c>
      <c r="L38" s="37">
        <f>H38+J38</f>
        <v>1352</v>
      </c>
      <c r="M38" s="186"/>
      <c r="N38" s="37">
        <v>6</v>
      </c>
      <c r="O38" s="37">
        <v>5</v>
      </c>
      <c r="P38" s="37">
        <v>643</v>
      </c>
      <c r="Q38" s="37">
        <v>602</v>
      </c>
      <c r="R38" s="37">
        <f>N38+P38</f>
        <v>649</v>
      </c>
      <c r="S38" s="37">
        <f>O38+Q38</f>
        <v>607</v>
      </c>
      <c r="T38" s="186"/>
      <c r="U38" s="37">
        <v>386</v>
      </c>
      <c r="V38" s="37">
        <v>370</v>
      </c>
      <c r="W38" s="32"/>
      <c r="Z38" s="258">
        <f t="shared" si="29"/>
        <v>0.22295514511873352</v>
      </c>
      <c r="AA38" s="258">
        <f t="shared" si="30"/>
        <v>0.93528505392912176</v>
      </c>
      <c r="AB38" s="259">
        <f t="shared" si="31"/>
        <v>0.95854922279792742</v>
      </c>
    </row>
    <row r="39" spans="1:28" s="33" customFormat="1" ht="15.6" x14ac:dyDescent="0.25">
      <c r="A39" s="73" t="s">
        <v>104</v>
      </c>
      <c r="B39" s="73"/>
      <c r="C39" s="73"/>
      <c r="D39" s="73"/>
      <c r="E39" s="73"/>
      <c r="F39" s="73"/>
      <c r="G39" s="37">
        <v>924</v>
      </c>
      <c r="H39" s="37">
        <v>185</v>
      </c>
      <c r="I39" s="37">
        <v>9297</v>
      </c>
      <c r="J39" s="37">
        <v>2075</v>
      </c>
      <c r="K39" s="37">
        <f>G39+I39</f>
        <v>10221</v>
      </c>
      <c r="L39" s="37">
        <f>H39+J39</f>
        <v>2260</v>
      </c>
      <c r="M39" s="186"/>
      <c r="N39" s="37">
        <v>186</v>
      </c>
      <c r="O39" s="37">
        <v>185</v>
      </c>
      <c r="P39" s="37">
        <v>556</v>
      </c>
      <c r="Q39" s="37">
        <v>515</v>
      </c>
      <c r="R39" s="37">
        <f>N39+P39</f>
        <v>742</v>
      </c>
      <c r="S39" s="37">
        <f>O39+Q39</f>
        <v>700</v>
      </c>
      <c r="T39" s="186"/>
      <c r="U39" s="37">
        <v>1869</v>
      </c>
      <c r="V39" s="37">
        <v>1859</v>
      </c>
      <c r="W39" s="32"/>
      <c r="Z39" s="258">
        <f t="shared" si="29"/>
        <v>0.22111339399276</v>
      </c>
      <c r="AA39" s="258">
        <f t="shared" si="30"/>
        <v>0.94339622641509435</v>
      </c>
      <c r="AB39" s="259">
        <f t="shared" si="31"/>
        <v>0.99464954521134297</v>
      </c>
    </row>
    <row r="40" spans="1:28" s="33" customFormat="1" ht="15.6" x14ac:dyDescent="0.25">
      <c r="A40" s="128" t="s">
        <v>91</v>
      </c>
      <c r="B40" s="73"/>
      <c r="C40" s="73"/>
      <c r="D40" s="73"/>
      <c r="E40" s="73"/>
      <c r="F40" s="73"/>
      <c r="G40" s="37">
        <v>2197</v>
      </c>
      <c r="H40" s="37">
        <v>478</v>
      </c>
      <c r="I40" s="37">
        <v>4814</v>
      </c>
      <c r="J40" s="37">
        <v>1074</v>
      </c>
      <c r="K40" s="37">
        <v>7011</v>
      </c>
      <c r="L40" s="37">
        <v>1552</v>
      </c>
      <c r="M40" s="186"/>
      <c r="N40" s="37">
        <v>170</v>
      </c>
      <c r="O40" s="37">
        <v>168</v>
      </c>
      <c r="P40" s="37">
        <v>252</v>
      </c>
      <c r="Q40" s="37">
        <v>229</v>
      </c>
      <c r="R40" s="37">
        <v>422</v>
      </c>
      <c r="S40" s="37">
        <v>397</v>
      </c>
      <c r="T40" s="186"/>
      <c r="U40" s="37">
        <v>2049</v>
      </c>
      <c r="V40" s="37">
        <v>1996</v>
      </c>
      <c r="W40" s="32"/>
      <c r="Z40" s="258">
        <f t="shared" si="29"/>
        <v>0.22136642419055769</v>
      </c>
      <c r="AA40" s="258">
        <f t="shared" si="30"/>
        <v>0.94075829383886256</v>
      </c>
      <c r="AB40" s="259">
        <f t="shared" si="31"/>
        <v>0.97413372376769158</v>
      </c>
    </row>
    <row r="41" spans="1:28" s="33" customFormat="1" ht="15.6" x14ac:dyDescent="0.25">
      <c r="A41" s="128" t="s">
        <v>90</v>
      </c>
      <c r="B41" s="73"/>
      <c r="C41" s="73"/>
      <c r="D41" s="73"/>
      <c r="E41" s="73"/>
      <c r="F41" s="73"/>
      <c r="G41" s="37">
        <f>277+454</f>
        <v>731</v>
      </c>
      <c r="H41" s="37">
        <f>55+424</f>
        <v>479</v>
      </c>
      <c r="I41" s="37">
        <f>1830+1089</f>
        <v>2919</v>
      </c>
      <c r="J41" s="37">
        <f>424+223</f>
        <v>647</v>
      </c>
      <c r="K41" s="37">
        <f>G41+I41</f>
        <v>3650</v>
      </c>
      <c r="L41" s="37">
        <f>H41+J41</f>
        <v>1126</v>
      </c>
      <c r="M41" s="186"/>
      <c r="N41" s="37">
        <v>45</v>
      </c>
      <c r="O41" s="37">
        <v>45</v>
      </c>
      <c r="P41" s="37">
        <v>482</v>
      </c>
      <c r="Q41" s="37">
        <v>408</v>
      </c>
      <c r="R41" s="37">
        <f>N41+P41</f>
        <v>527</v>
      </c>
      <c r="S41" s="37">
        <f>O41+Q41</f>
        <v>453</v>
      </c>
      <c r="T41" s="186"/>
      <c r="U41" s="37">
        <v>1574</v>
      </c>
      <c r="V41" s="37">
        <v>1557</v>
      </c>
      <c r="W41" s="32"/>
      <c r="Z41" s="258">
        <f t="shared" si="29"/>
        <v>0.30849315068493149</v>
      </c>
      <c r="AA41" s="258">
        <f t="shared" si="30"/>
        <v>0.85958254269449719</v>
      </c>
      <c r="AB41" s="259">
        <f t="shared" si="31"/>
        <v>0.98919949174078781</v>
      </c>
    </row>
    <row r="42" spans="1:28" s="33" customFormat="1" ht="15.6" x14ac:dyDescent="0.25">
      <c r="A42" s="128" t="s">
        <v>92</v>
      </c>
      <c r="B42" s="74"/>
      <c r="C42" s="74"/>
      <c r="D42" s="74"/>
      <c r="E42" s="74"/>
      <c r="F42" s="74"/>
      <c r="G42" s="37">
        <v>546</v>
      </c>
      <c r="H42" s="37">
        <v>104</v>
      </c>
      <c r="I42" s="37">
        <v>4795</v>
      </c>
      <c r="J42" s="37">
        <v>1058</v>
      </c>
      <c r="K42" s="37">
        <f>G42+I42</f>
        <v>5341</v>
      </c>
      <c r="L42" s="37">
        <f>J42+H42</f>
        <v>1162</v>
      </c>
      <c r="M42" s="186"/>
      <c r="N42" s="37">
        <v>355</v>
      </c>
      <c r="O42" s="37">
        <v>343</v>
      </c>
      <c r="P42" s="37">
        <v>2982</v>
      </c>
      <c r="Q42" s="37">
        <v>2697</v>
      </c>
      <c r="R42" s="37">
        <f>P42+N42</f>
        <v>3337</v>
      </c>
      <c r="S42" s="37">
        <f>Q42+O42</f>
        <v>3040</v>
      </c>
      <c r="T42" s="186"/>
      <c r="U42" s="37">
        <f>2986+107+77+66</f>
        <v>3236</v>
      </c>
      <c r="V42" s="37">
        <f>2954+106+75+65</f>
        <v>3200</v>
      </c>
      <c r="W42" s="46"/>
      <c r="Z42" s="258">
        <f t="shared" si="29"/>
        <v>0.21756225425950196</v>
      </c>
      <c r="AA42" s="258">
        <f t="shared" si="30"/>
        <v>0.9109979023074618</v>
      </c>
      <c r="AB42" s="259">
        <f t="shared" si="31"/>
        <v>0.9888751545117429</v>
      </c>
    </row>
    <row r="43" spans="1:28" s="33" customFormat="1" x14ac:dyDescent="0.25">
      <c r="A43" s="191" t="s">
        <v>36</v>
      </c>
      <c r="B43" s="191"/>
      <c r="C43" s="191"/>
      <c r="D43" s="191"/>
      <c r="E43" s="191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</row>
    <row r="44" spans="1:28" s="33" customFormat="1" x14ac:dyDescent="0.25">
      <c r="A44" s="171" t="s">
        <v>66</v>
      </c>
      <c r="B44" s="191"/>
      <c r="C44" s="191"/>
      <c r="D44" s="191"/>
      <c r="E44" s="191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</row>
    <row r="45" spans="1:28" s="33" customFormat="1" x14ac:dyDescent="0.25">
      <c r="A45" s="171" t="s">
        <v>76</v>
      </c>
      <c r="B45" s="173"/>
      <c r="C45" s="173"/>
      <c r="D45" s="171"/>
      <c r="E45" s="171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</row>
    <row r="46" spans="1:28" s="33" customFormat="1" x14ac:dyDescent="0.25">
      <c r="A46" s="171" t="s">
        <v>38</v>
      </c>
      <c r="B46" s="171"/>
      <c r="C46" s="171"/>
      <c r="D46" s="171"/>
      <c r="E46" s="171"/>
    </row>
    <row r="47" spans="1:28" s="33" customFormat="1" x14ac:dyDescent="0.25">
      <c r="A47" s="173" t="s">
        <v>108</v>
      </c>
      <c r="B47" s="171"/>
      <c r="C47" s="171"/>
      <c r="D47" s="171"/>
      <c r="E47" s="171"/>
    </row>
    <row r="48" spans="1:28" s="33" customFormat="1" x14ac:dyDescent="0.25">
      <c r="A48" s="171" t="s">
        <v>148</v>
      </c>
      <c r="B48" s="171"/>
      <c r="C48" s="171"/>
      <c r="D48" s="171"/>
      <c r="E48" s="171"/>
    </row>
    <row r="49" spans="1:16" s="33" customFormat="1" x14ac:dyDescent="0.25">
      <c r="A49" s="133" t="s">
        <v>93</v>
      </c>
      <c r="B49" s="171"/>
      <c r="C49" s="171"/>
      <c r="D49" s="171"/>
      <c r="E49" s="171"/>
    </row>
    <row r="50" spans="1:16" x14ac:dyDescent="0.25">
      <c r="A50" s="133" t="s">
        <v>147</v>
      </c>
    </row>
    <row r="54" spans="1:16" x14ac:dyDescent="0.25">
      <c r="P54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46"/>
  <sheetViews>
    <sheetView workbookViewId="0">
      <pane ySplit="1350" topLeftCell="A10"/>
      <selection activeCell="BG24" sqref="BG24"/>
      <selection pane="bottomLeft" activeCell="B6" sqref="B6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9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0" customWidth="1"/>
    <col min="65" max="65" width="2.44140625" customWidth="1"/>
    <col min="69" max="69" width="2.6640625" customWidth="1"/>
    <col min="73" max="73" width="3" customWidth="1"/>
    <col min="74" max="74" width="10.44140625" bestFit="1" customWidth="1"/>
  </cols>
  <sheetData>
    <row r="1" spans="1:77" s="9" customFormat="1" x14ac:dyDescent="0.25">
      <c r="B1" s="25"/>
      <c r="C1" s="25"/>
      <c r="D1" s="25"/>
      <c r="E1" s="25"/>
      <c r="F1" s="25" t="s">
        <v>150</v>
      </c>
      <c r="G1" s="42"/>
      <c r="H1" s="42"/>
      <c r="I1" s="42"/>
      <c r="J1" s="34"/>
      <c r="K1" s="34"/>
      <c r="L1" s="34"/>
      <c r="M1" s="34"/>
      <c r="N1" s="34"/>
      <c r="O1" s="34"/>
      <c r="P1" s="34"/>
      <c r="Q1" s="34"/>
      <c r="R1" s="42" t="str">
        <f>F1</f>
        <v>Junction City weir, cumulative weekly trapping totals, 2004-2021.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D1" s="36" t="str">
        <f>F1</f>
        <v>Junction City weir, cumulative weekly trapping totals, 2004-2021.</v>
      </c>
      <c r="AE1" s="34"/>
      <c r="AF1" s="34"/>
      <c r="AG1" s="34"/>
      <c r="AH1" s="34"/>
      <c r="AI1" s="34"/>
      <c r="AJ1" s="34"/>
      <c r="AK1" s="34"/>
      <c r="AL1" s="34"/>
      <c r="AM1" s="34"/>
      <c r="AN1" s="51"/>
      <c r="AO1" s="34"/>
      <c r="AP1" s="21"/>
      <c r="AQ1" s="34"/>
      <c r="AR1" s="34"/>
      <c r="AS1" s="34"/>
      <c r="AT1" s="59" t="str">
        <f>F1</f>
        <v>Junction City weir, cumulative weekly trapping totals, 2004-2021.</v>
      </c>
      <c r="AU1" s="34"/>
      <c r="AV1" s="34"/>
      <c r="AW1" s="34"/>
      <c r="AX1" s="34"/>
      <c r="AY1" s="34"/>
      <c r="AZ1" s="34"/>
      <c r="BB1" s="9" t="str">
        <f>F1</f>
        <v>Junction City weir, cumulative weekly trapping totals, 2004-2021.</v>
      </c>
      <c r="BJ1" s="119"/>
      <c r="BK1" s="119"/>
      <c r="BL1" s="119"/>
    </row>
    <row r="2" spans="1:77" s="9" customFormat="1" x14ac:dyDescent="0.25">
      <c r="F2" s="285" t="s">
        <v>44</v>
      </c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60"/>
      <c r="R2" s="285" t="s">
        <v>44</v>
      </c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60"/>
      <c r="AD2" s="285" t="s">
        <v>44</v>
      </c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60"/>
      <c r="AP2" s="285" t="s">
        <v>44</v>
      </c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J2" s="119"/>
      <c r="BK2" s="119"/>
      <c r="BL2" s="119"/>
    </row>
    <row r="3" spans="1:77" s="9" customFormat="1" x14ac:dyDescent="0.25">
      <c r="A3" s="12" t="s">
        <v>20</v>
      </c>
      <c r="F3" s="18"/>
      <c r="G3" s="18">
        <v>2004</v>
      </c>
      <c r="H3" s="18"/>
      <c r="I3" s="12"/>
      <c r="J3" s="18"/>
      <c r="K3" s="18">
        <v>2005</v>
      </c>
      <c r="L3" s="18"/>
      <c r="M3" s="12"/>
      <c r="N3" s="18"/>
      <c r="O3" s="18">
        <v>2006</v>
      </c>
      <c r="P3" s="18"/>
      <c r="Q3" s="51"/>
      <c r="R3" s="18"/>
      <c r="S3" s="18">
        <v>2007</v>
      </c>
      <c r="T3" s="18"/>
      <c r="U3" s="12"/>
      <c r="V3" s="18"/>
      <c r="W3" s="18">
        <v>2008</v>
      </c>
      <c r="X3" s="18"/>
      <c r="Y3" s="12"/>
      <c r="Z3" s="18"/>
      <c r="AA3" s="18">
        <v>2009</v>
      </c>
      <c r="AB3" s="18"/>
      <c r="AC3" s="34"/>
      <c r="AD3" s="18"/>
      <c r="AE3" s="18">
        <v>2010</v>
      </c>
      <c r="AF3" s="18"/>
      <c r="AH3" s="18"/>
      <c r="AI3" s="18">
        <v>2011</v>
      </c>
      <c r="AJ3" s="18"/>
      <c r="AK3" s="18"/>
      <c r="AL3" s="18"/>
      <c r="AM3" s="18">
        <v>2012</v>
      </c>
      <c r="AN3" s="18"/>
      <c r="AO3" s="34"/>
      <c r="AP3" s="43"/>
      <c r="AQ3" s="18">
        <v>2013</v>
      </c>
      <c r="AR3" s="18"/>
      <c r="AT3" s="43"/>
      <c r="AU3" s="18">
        <v>2014</v>
      </c>
      <c r="AV3" s="18"/>
      <c r="AW3" s="50"/>
      <c r="AX3" s="58"/>
      <c r="AY3" s="18">
        <v>2015</v>
      </c>
      <c r="AZ3" s="18"/>
      <c r="BB3" s="40"/>
      <c r="BC3" s="40">
        <v>2016</v>
      </c>
      <c r="BD3" s="40"/>
      <c r="BE3" s="54"/>
      <c r="BF3" s="40"/>
      <c r="BG3" s="40">
        <v>2017</v>
      </c>
      <c r="BH3" s="40"/>
      <c r="BI3" s="54"/>
      <c r="BJ3" s="117"/>
      <c r="BK3" s="117">
        <v>2018</v>
      </c>
      <c r="BL3" s="117"/>
      <c r="BN3" s="286">
        <v>2019</v>
      </c>
      <c r="BO3" s="286"/>
      <c r="BP3" s="286"/>
      <c r="BR3" s="286">
        <v>2020</v>
      </c>
      <c r="BS3" s="286"/>
      <c r="BT3" s="286"/>
      <c r="BV3" s="286">
        <v>2021</v>
      </c>
      <c r="BW3" s="286"/>
      <c r="BX3" s="286"/>
      <c r="BY3" s="286"/>
    </row>
    <row r="4" spans="1:77" s="9" customFormat="1" x14ac:dyDescent="0.25">
      <c r="A4" s="18" t="s">
        <v>27</v>
      </c>
      <c r="B4" s="16" t="s">
        <v>28</v>
      </c>
      <c r="C4" s="16"/>
      <c r="D4" s="16"/>
      <c r="E4" s="17"/>
      <c r="F4" s="18" t="s">
        <v>17</v>
      </c>
      <c r="G4" s="18" t="s">
        <v>45</v>
      </c>
      <c r="H4" s="18" t="s">
        <v>19</v>
      </c>
      <c r="I4" s="18"/>
      <c r="J4" s="18" t="s">
        <v>17</v>
      </c>
      <c r="K4" s="18" t="s">
        <v>45</v>
      </c>
      <c r="L4" s="18" t="s">
        <v>19</v>
      </c>
      <c r="M4" s="18"/>
      <c r="N4" s="18" t="s">
        <v>17</v>
      </c>
      <c r="O4" s="18" t="s">
        <v>45</v>
      </c>
      <c r="P4" s="18" t="s">
        <v>19</v>
      </c>
      <c r="Q4" s="51"/>
      <c r="R4" s="18" t="s">
        <v>17</v>
      </c>
      <c r="S4" s="18" t="s">
        <v>45</v>
      </c>
      <c r="T4" s="18" t="s">
        <v>19</v>
      </c>
      <c r="U4" s="18"/>
      <c r="V4" s="18" t="s">
        <v>17</v>
      </c>
      <c r="W4" s="18" t="s">
        <v>45</v>
      </c>
      <c r="X4" s="18" t="s">
        <v>19</v>
      </c>
      <c r="Y4" s="18"/>
      <c r="Z4" s="18" t="s">
        <v>17</v>
      </c>
      <c r="AA4" s="18" t="s">
        <v>45</v>
      </c>
      <c r="AB4" s="18" t="s">
        <v>19</v>
      </c>
      <c r="AC4" s="34"/>
      <c r="AD4" s="18" t="s">
        <v>17</v>
      </c>
      <c r="AE4" s="18" t="s">
        <v>45</v>
      </c>
      <c r="AF4" s="18" t="s">
        <v>19</v>
      </c>
      <c r="AH4" s="18" t="s">
        <v>17</v>
      </c>
      <c r="AI4" s="18" t="s">
        <v>45</v>
      </c>
      <c r="AJ4" s="18" t="s">
        <v>19</v>
      </c>
      <c r="AK4" s="18"/>
      <c r="AL4" s="18" t="s">
        <v>17</v>
      </c>
      <c r="AM4" s="18" t="s">
        <v>45</v>
      </c>
      <c r="AN4" s="18" t="s">
        <v>19</v>
      </c>
      <c r="AO4" s="34"/>
      <c r="AP4" s="18" t="s">
        <v>17</v>
      </c>
      <c r="AQ4" s="18" t="s">
        <v>45</v>
      </c>
      <c r="AR4" s="18" t="s">
        <v>19</v>
      </c>
      <c r="AS4" s="17"/>
      <c r="AT4" s="18" t="s">
        <v>17</v>
      </c>
      <c r="AU4" s="18" t="s">
        <v>45</v>
      </c>
      <c r="AV4" s="18" t="s">
        <v>19</v>
      </c>
      <c r="AW4" s="50"/>
      <c r="AX4" s="18" t="s">
        <v>17</v>
      </c>
      <c r="AY4" s="18" t="s">
        <v>45</v>
      </c>
      <c r="AZ4" s="18" t="s">
        <v>19</v>
      </c>
      <c r="BB4" s="63" t="s">
        <v>17</v>
      </c>
      <c r="BC4" s="63" t="s">
        <v>45</v>
      </c>
      <c r="BD4" s="63" t="s">
        <v>19</v>
      </c>
      <c r="BE4" s="63"/>
      <c r="BF4" s="63" t="s">
        <v>17</v>
      </c>
      <c r="BG4" s="63" t="s">
        <v>45</v>
      </c>
      <c r="BH4" s="63" t="s">
        <v>19</v>
      </c>
      <c r="BI4" s="63"/>
      <c r="BJ4" s="118" t="s">
        <v>17</v>
      </c>
      <c r="BK4" s="118" t="s">
        <v>45</v>
      </c>
      <c r="BL4" s="118" t="s">
        <v>19</v>
      </c>
      <c r="BN4" s="118" t="s">
        <v>17</v>
      </c>
      <c r="BO4" s="118" t="s">
        <v>45</v>
      </c>
      <c r="BP4" s="118" t="s">
        <v>19</v>
      </c>
      <c r="BR4" s="118" t="s">
        <v>17</v>
      </c>
      <c r="BS4" s="118" t="s">
        <v>45</v>
      </c>
      <c r="BT4" s="118" t="s">
        <v>19</v>
      </c>
      <c r="BV4" s="118" t="s">
        <v>17</v>
      </c>
      <c r="BW4" s="118" t="s">
        <v>18</v>
      </c>
      <c r="BX4" s="118" t="s">
        <v>19</v>
      </c>
      <c r="BY4" s="118" t="s">
        <v>152</v>
      </c>
    </row>
    <row r="5" spans="1:77" s="9" customFormat="1" x14ac:dyDescent="0.25">
      <c r="A5" s="79">
        <v>22</v>
      </c>
      <c r="B5" s="271">
        <f>D5-6</f>
        <v>44709</v>
      </c>
      <c r="C5" s="60"/>
      <c r="D5" s="271">
        <v>44715</v>
      </c>
      <c r="E5" s="34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34"/>
      <c r="AD5" s="79"/>
      <c r="AE5" s="79"/>
      <c r="AF5" s="79"/>
      <c r="AH5" s="79"/>
      <c r="AI5" s="79"/>
      <c r="AJ5" s="79"/>
      <c r="AK5" s="79"/>
      <c r="AL5" s="79"/>
      <c r="AM5" s="79"/>
      <c r="AN5" s="79"/>
      <c r="AO5" s="34"/>
      <c r="AP5" s="79"/>
      <c r="AQ5" s="79"/>
      <c r="AR5" s="79"/>
      <c r="AS5" s="34"/>
      <c r="AT5" s="79"/>
      <c r="AU5" s="79"/>
      <c r="AV5" s="79"/>
      <c r="AW5" s="79"/>
      <c r="AX5" s="79"/>
      <c r="AY5" s="79"/>
      <c r="AZ5" s="79"/>
      <c r="BB5" s="79"/>
      <c r="BC5" s="79"/>
      <c r="BD5" s="79"/>
      <c r="BE5" s="79"/>
      <c r="BF5" s="79"/>
      <c r="BG5" s="79"/>
      <c r="BH5" s="79"/>
      <c r="BI5" s="79"/>
      <c r="BJ5" s="270"/>
      <c r="BK5" s="270"/>
      <c r="BL5" s="270"/>
      <c r="BN5" s="270"/>
      <c r="BO5" s="270"/>
      <c r="BP5" s="270"/>
      <c r="BR5" s="270"/>
      <c r="BS5" s="270"/>
      <c r="BT5" s="270"/>
      <c r="BV5" s="270"/>
      <c r="BW5" s="270"/>
      <c r="BX5" s="270"/>
    </row>
    <row r="6" spans="1:77" s="9" customFormat="1" x14ac:dyDescent="0.25">
      <c r="A6" s="20">
        <v>23</v>
      </c>
      <c r="B6" s="6">
        <v>38142</v>
      </c>
      <c r="C6" s="1" t="s">
        <v>70</v>
      </c>
      <c r="D6" s="6">
        <v>40339</v>
      </c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4"/>
      <c r="AD6" s="35"/>
      <c r="AE6" s="35"/>
      <c r="AF6" s="35"/>
      <c r="AH6" s="35"/>
      <c r="AI6" s="35"/>
      <c r="AJ6" s="35"/>
      <c r="AK6" s="35"/>
      <c r="AN6" s="12"/>
      <c r="AP6" s="20">
        <v>1</v>
      </c>
      <c r="AQ6" s="20">
        <v>3</v>
      </c>
      <c r="AR6" s="20">
        <v>1</v>
      </c>
      <c r="AT6" s="22">
        <v>2</v>
      </c>
      <c r="AU6" s="22">
        <v>9</v>
      </c>
      <c r="AV6" s="22">
        <v>0</v>
      </c>
      <c r="AX6" s="22"/>
      <c r="AY6" s="22"/>
      <c r="AZ6" s="22"/>
      <c r="BJ6" s="119"/>
      <c r="BK6" s="119"/>
      <c r="BL6" s="119"/>
      <c r="BN6" s="12"/>
      <c r="BO6" s="12"/>
      <c r="BP6" s="12"/>
      <c r="BR6" s="243">
        <v>1</v>
      </c>
      <c r="BS6" s="243"/>
      <c r="BT6" s="243"/>
      <c r="BV6" s="208">
        <v>12</v>
      </c>
      <c r="BW6" s="208">
        <v>0</v>
      </c>
      <c r="BX6" s="208">
        <v>0</v>
      </c>
      <c r="BY6" s="208">
        <v>1</v>
      </c>
    </row>
    <row r="7" spans="1:77" x14ac:dyDescent="0.25">
      <c r="A7" s="1">
        <v>24</v>
      </c>
      <c r="B7" s="6">
        <v>40340</v>
      </c>
      <c r="C7" s="1" t="s">
        <v>70</v>
      </c>
      <c r="D7" s="6">
        <v>40346</v>
      </c>
      <c r="J7" s="7"/>
      <c r="K7" s="7"/>
      <c r="L7" s="7"/>
      <c r="N7" s="7"/>
      <c r="O7" s="7"/>
      <c r="P7" s="7"/>
      <c r="R7" s="8"/>
      <c r="S7" s="7"/>
      <c r="T7" s="7"/>
      <c r="V7" s="7"/>
      <c r="W7" s="7"/>
      <c r="X7" s="7"/>
      <c r="Z7" s="1">
        <v>0</v>
      </c>
      <c r="AA7" s="1">
        <v>1</v>
      </c>
      <c r="AB7" s="1">
        <v>0</v>
      </c>
      <c r="AP7" s="20">
        <v>7</v>
      </c>
      <c r="AQ7" s="20">
        <v>11</v>
      </c>
      <c r="AR7" s="20">
        <v>5</v>
      </c>
      <c r="AT7" s="1">
        <v>125</v>
      </c>
      <c r="AU7" s="1">
        <v>45</v>
      </c>
      <c r="AV7" s="1">
        <v>1</v>
      </c>
      <c r="AX7" s="1">
        <v>11</v>
      </c>
      <c r="AY7" s="1">
        <v>7</v>
      </c>
      <c r="AZ7" s="1">
        <v>2</v>
      </c>
      <c r="BJ7" s="121">
        <v>48</v>
      </c>
      <c r="BK7" s="120">
        <v>0</v>
      </c>
      <c r="BL7" s="120">
        <v>1</v>
      </c>
      <c r="BN7" s="1"/>
      <c r="BO7" s="1"/>
      <c r="BP7" s="1"/>
      <c r="BR7" s="243">
        <v>2</v>
      </c>
      <c r="BS7" s="243"/>
      <c r="BT7" s="243"/>
      <c r="BV7" s="208">
        <v>44</v>
      </c>
      <c r="BW7" s="208">
        <v>0</v>
      </c>
      <c r="BX7" s="208">
        <v>1</v>
      </c>
      <c r="BY7" s="208">
        <v>1</v>
      </c>
    </row>
    <row r="8" spans="1:77" x14ac:dyDescent="0.25">
      <c r="A8" s="1">
        <f t="shared" ref="A8:A34" si="0">A7+1</f>
        <v>25</v>
      </c>
      <c r="B8" s="6">
        <f t="shared" ref="B8:B19" si="1">B7+7</f>
        <v>40347</v>
      </c>
      <c r="C8" s="1" t="s">
        <v>70</v>
      </c>
      <c r="D8" s="6">
        <f t="shared" ref="D8:D19" si="2">D7+7</f>
        <v>40353</v>
      </c>
      <c r="J8" s="7"/>
      <c r="K8" s="7"/>
      <c r="L8" s="7"/>
      <c r="N8" s="7"/>
      <c r="O8" s="7"/>
      <c r="P8" s="7"/>
      <c r="R8" s="8">
        <v>15</v>
      </c>
      <c r="S8" s="1">
        <v>60</v>
      </c>
      <c r="T8" s="7">
        <v>23</v>
      </c>
      <c r="W8" s="7"/>
      <c r="Z8" s="1">
        <v>10</v>
      </c>
      <c r="AA8" s="1">
        <v>28</v>
      </c>
      <c r="AB8" s="1">
        <v>3</v>
      </c>
      <c r="AP8" s="20">
        <v>111</v>
      </c>
      <c r="AQ8" s="20">
        <v>53</v>
      </c>
      <c r="AR8" s="20">
        <v>15</v>
      </c>
      <c r="AT8" s="1">
        <v>331</v>
      </c>
      <c r="AU8" s="1">
        <v>64</v>
      </c>
      <c r="AV8" s="1">
        <v>7</v>
      </c>
      <c r="AX8" s="1">
        <v>41</v>
      </c>
      <c r="AY8" s="1">
        <v>12</v>
      </c>
      <c r="AZ8" s="1">
        <v>3</v>
      </c>
      <c r="BJ8" s="121">
        <v>250</v>
      </c>
      <c r="BK8" s="120">
        <v>3</v>
      </c>
      <c r="BL8" s="120">
        <v>4</v>
      </c>
      <c r="BN8" s="1"/>
      <c r="BO8" s="1"/>
      <c r="BP8" s="1"/>
      <c r="BR8" s="243">
        <v>21</v>
      </c>
      <c r="BS8" s="243">
        <v>3</v>
      </c>
      <c r="BT8" s="243">
        <v>6</v>
      </c>
      <c r="BV8" s="208">
        <v>418</v>
      </c>
      <c r="BW8" s="208">
        <v>0</v>
      </c>
      <c r="BX8" s="208">
        <v>7</v>
      </c>
      <c r="BY8" s="208">
        <v>5</v>
      </c>
    </row>
    <row r="9" spans="1:77" x14ac:dyDescent="0.25">
      <c r="A9" s="1">
        <f t="shared" si="0"/>
        <v>26</v>
      </c>
      <c r="B9" s="6">
        <f t="shared" si="1"/>
        <v>40354</v>
      </c>
      <c r="C9" s="1" t="s">
        <v>70</v>
      </c>
      <c r="D9" s="6">
        <f t="shared" si="2"/>
        <v>40360</v>
      </c>
      <c r="F9" s="7"/>
      <c r="G9" s="7"/>
      <c r="H9" s="7"/>
      <c r="J9" s="7"/>
      <c r="K9" s="7"/>
      <c r="L9" s="7"/>
      <c r="N9" s="7"/>
      <c r="O9" s="7"/>
      <c r="P9" s="7"/>
      <c r="R9" s="8">
        <v>114</v>
      </c>
      <c r="S9" s="1">
        <v>114</v>
      </c>
      <c r="T9" s="7">
        <v>59</v>
      </c>
      <c r="W9" s="7"/>
      <c r="Z9" s="1">
        <v>55</v>
      </c>
      <c r="AA9" s="1">
        <v>73</v>
      </c>
      <c r="AB9" s="1">
        <v>12</v>
      </c>
      <c r="AP9" s="20">
        <v>293</v>
      </c>
      <c r="AQ9" s="20">
        <v>78</v>
      </c>
      <c r="AR9" s="20">
        <v>23</v>
      </c>
      <c r="AT9" s="1">
        <v>565</v>
      </c>
      <c r="AU9" s="1">
        <v>91</v>
      </c>
      <c r="AV9" s="1">
        <v>8</v>
      </c>
      <c r="AX9" s="1">
        <v>113</v>
      </c>
      <c r="AY9" s="1">
        <v>28</v>
      </c>
      <c r="AZ9" s="1">
        <v>10</v>
      </c>
      <c r="BJ9" s="121">
        <v>712</v>
      </c>
      <c r="BK9" s="120">
        <v>9</v>
      </c>
      <c r="BL9" s="120">
        <v>13</v>
      </c>
      <c r="BN9" s="1"/>
      <c r="BO9" s="1"/>
      <c r="BP9" s="1"/>
      <c r="BR9" s="243">
        <v>120</v>
      </c>
      <c r="BS9" s="243">
        <v>5</v>
      </c>
      <c r="BT9" s="243">
        <v>18</v>
      </c>
      <c r="BV9" s="208">
        <v>539</v>
      </c>
      <c r="BW9" s="208">
        <v>0</v>
      </c>
      <c r="BX9" s="208">
        <v>33</v>
      </c>
      <c r="BY9" s="208">
        <v>6</v>
      </c>
    </row>
    <row r="10" spans="1:77" x14ac:dyDescent="0.25">
      <c r="A10" s="1">
        <f t="shared" si="0"/>
        <v>27</v>
      </c>
      <c r="B10" s="6">
        <f t="shared" si="1"/>
        <v>40361</v>
      </c>
      <c r="C10" s="1" t="s">
        <v>70</v>
      </c>
      <c r="D10" s="6">
        <f t="shared" si="2"/>
        <v>40367</v>
      </c>
      <c r="F10" s="7"/>
      <c r="G10" s="7"/>
      <c r="H10" s="7"/>
      <c r="J10" s="7"/>
      <c r="K10" s="7"/>
      <c r="L10" s="7"/>
      <c r="N10" s="7"/>
      <c r="O10" s="7"/>
      <c r="P10" s="7"/>
      <c r="R10" s="8">
        <v>381</v>
      </c>
      <c r="S10" s="1">
        <v>192</v>
      </c>
      <c r="T10" s="7">
        <v>113</v>
      </c>
      <c r="W10" s="7"/>
      <c r="Z10" s="1">
        <v>95</v>
      </c>
      <c r="AA10" s="1">
        <v>103</v>
      </c>
      <c r="AB10" s="1">
        <v>26</v>
      </c>
      <c r="AP10" s="20">
        <v>517</v>
      </c>
      <c r="AQ10" s="20">
        <v>104</v>
      </c>
      <c r="AR10" s="20">
        <v>30</v>
      </c>
      <c r="AT10" s="1">
        <v>706</v>
      </c>
      <c r="AU10" s="1">
        <v>111</v>
      </c>
      <c r="AV10" s="1">
        <v>11</v>
      </c>
      <c r="AX10" s="1">
        <v>191</v>
      </c>
      <c r="AY10" s="1">
        <v>62</v>
      </c>
      <c r="AZ10" s="1">
        <v>25</v>
      </c>
      <c r="BJ10" s="121">
        <v>784</v>
      </c>
      <c r="BK10" s="120">
        <v>11</v>
      </c>
      <c r="BL10" s="120">
        <v>18</v>
      </c>
      <c r="BN10" s="1"/>
      <c r="BO10" s="1"/>
      <c r="BP10" s="1"/>
      <c r="BR10" s="243">
        <v>169</v>
      </c>
      <c r="BS10" s="243">
        <v>5</v>
      </c>
      <c r="BT10" s="243">
        <v>27</v>
      </c>
      <c r="BV10" s="208">
        <v>557</v>
      </c>
      <c r="BW10" s="208">
        <v>0</v>
      </c>
      <c r="BX10" s="208">
        <v>42</v>
      </c>
      <c r="BY10" s="208">
        <v>6</v>
      </c>
    </row>
    <row r="11" spans="1:77" x14ac:dyDescent="0.25">
      <c r="A11" s="1">
        <f t="shared" si="0"/>
        <v>28</v>
      </c>
      <c r="B11" s="6">
        <f t="shared" si="1"/>
        <v>40368</v>
      </c>
      <c r="C11" s="1" t="s">
        <v>70</v>
      </c>
      <c r="D11" s="6">
        <f t="shared" si="2"/>
        <v>40374</v>
      </c>
      <c r="F11" s="7"/>
      <c r="G11" s="7"/>
      <c r="H11" s="7"/>
      <c r="J11" s="7"/>
      <c r="K11" s="7"/>
      <c r="L11" s="7"/>
      <c r="N11" s="7"/>
      <c r="O11" s="7"/>
      <c r="P11" s="7"/>
      <c r="R11" s="8">
        <v>436</v>
      </c>
      <c r="S11" s="1">
        <v>286</v>
      </c>
      <c r="T11" s="7">
        <v>152</v>
      </c>
      <c r="W11" s="7"/>
      <c r="Z11" s="1">
        <v>141</v>
      </c>
      <c r="AA11" s="1">
        <v>114</v>
      </c>
      <c r="AB11" s="1">
        <v>27</v>
      </c>
      <c r="AP11" s="20">
        <v>559</v>
      </c>
      <c r="AQ11" s="20">
        <v>161</v>
      </c>
      <c r="AR11" s="20">
        <v>31</v>
      </c>
      <c r="AT11" s="1">
        <v>777</v>
      </c>
      <c r="AU11" s="1">
        <v>149</v>
      </c>
      <c r="AV11" s="1">
        <v>15</v>
      </c>
      <c r="AX11" s="1">
        <v>195</v>
      </c>
      <c r="AY11" s="1">
        <v>63</v>
      </c>
      <c r="AZ11" s="1">
        <v>27</v>
      </c>
      <c r="BJ11" s="121">
        <v>812</v>
      </c>
      <c r="BK11" s="120">
        <v>14</v>
      </c>
      <c r="BL11" s="120">
        <v>20</v>
      </c>
      <c r="BN11" s="1"/>
      <c r="BO11" s="1"/>
      <c r="BP11" s="1"/>
      <c r="BR11" s="243">
        <v>209</v>
      </c>
      <c r="BS11" s="243">
        <v>11</v>
      </c>
      <c r="BT11" s="243">
        <v>33</v>
      </c>
      <c r="BV11" s="208">
        <v>577</v>
      </c>
      <c r="BW11" s="208">
        <v>0</v>
      </c>
      <c r="BX11" s="208">
        <v>44</v>
      </c>
      <c r="BY11" s="208">
        <v>6</v>
      </c>
    </row>
    <row r="12" spans="1:77" x14ac:dyDescent="0.25">
      <c r="A12" s="1">
        <f t="shared" si="0"/>
        <v>29</v>
      </c>
      <c r="B12" s="6">
        <f t="shared" si="1"/>
        <v>40375</v>
      </c>
      <c r="C12" s="1" t="s">
        <v>70</v>
      </c>
      <c r="D12" s="6">
        <f t="shared" si="2"/>
        <v>40381</v>
      </c>
      <c r="F12" s="7">
        <v>151</v>
      </c>
      <c r="G12" s="1">
        <v>40</v>
      </c>
      <c r="H12" s="7">
        <v>11</v>
      </c>
      <c r="J12" s="7">
        <v>11</v>
      </c>
      <c r="K12" s="7">
        <v>14</v>
      </c>
      <c r="L12" s="7">
        <v>2</v>
      </c>
      <c r="O12" s="7"/>
      <c r="R12" s="8">
        <v>461</v>
      </c>
      <c r="S12" s="1">
        <v>302</v>
      </c>
      <c r="T12" s="7">
        <v>165</v>
      </c>
      <c r="V12" s="7">
        <v>26</v>
      </c>
      <c r="W12" s="1">
        <v>10</v>
      </c>
      <c r="X12" s="1">
        <v>5</v>
      </c>
      <c r="Z12" s="1">
        <v>174</v>
      </c>
      <c r="AA12" s="1">
        <v>133</v>
      </c>
      <c r="AB12" s="1">
        <v>29</v>
      </c>
      <c r="AP12" s="20">
        <v>594</v>
      </c>
      <c r="AQ12" s="20">
        <v>190</v>
      </c>
      <c r="AR12" s="20">
        <v>34</v>
      </c>
      <c r="AT12" s="1">
        <v>817</v>
      </c>
      <c r="AU12" s="1">
        <v>166</v>
      </c>
      <c r="AV12" s="1">
        <v>17</v>
      </c>
      <c r="AX12" s="1">
        <v>276</v>
      </c>
      <c r="AY12" s="1">
        <v>68</v>
      </c>
      <c r="AZ12" s="1">
        <v>50</v>
      </c>
      <c r="BB12" s="62">
        <v>4</v>
      </c>
      <c r="BC12" s="1">
        <v>0</v>
      </c>
      <c r="BD12" s="1">
        <v>3</v>
      </c>
      <c r="BJ12" s="121">
        <v>831</v>
      </c>
      <c r="BK12" s="120">
        <v>18</v>
      </c>
      <c r="BL12" s="120">
        <v>25</v>
      </c>
      <c r="BN12" s="1">
        <v>64</v>
      </c>
      <c r="BO12" s="1">
        <v>5</v>
      </c>
      <c r="BP12" s="1">
        <v>13</v>
      </c>
      <c r="BR12" s="243">
        <v>246</v>
      </c>
      <c r="BS12" s="243">
        <v>12</v>
      </c>
      <c r="BT12" s="243">
        <v>45</v>
      </c>
      <c r="BV12" s="208">
        <v>633</v>
      </c>
      <c r="BW12" s="208">
        <v>0</v>
      </c>
      <c r="BX12" s="208">
        <v>46</v>
      </c>
      <c r="BY12" s="208">
        <v>6</v>
      </c>
    </row>
    <row r="13" spans="1:77" x14ac:dyDescent="0.25">
      <c r="A13" s="1">
        <f t="shared" si="0"/>
        <v>30</v>
      </c>
      <c r="B13" s="6">
        <f t="shared" si="1"/>
        <v>40382</v>
      </c>
      <c r="C13" s="1" t="s">
        <v>70</v>
      </c>
      <c r="D13" s="6">
        <f t="shared" si="2"/>
        <v>40388</v>
      </c>
      <c r="F13" s="7">
        <v>235</v>
      </c>
      <c r="G13" s="1">
        <v>136</v>
      </c>
      <c r="H13" s="7">
        <v>31</v>
      </c>
      <c r="J13" s="7">
        <v>24</v>
      </c>
      <c r="K13" s="7">
        <v>70</v>
      </c>
      <c r="L13" s="7">
        <v>17</v>
      </c>
      <c r="N13" s="1">
        <v>67</v>
      </c>
      <c r="O13" s="1">
        <v>86</v>
      </c>
      <c r="P13" s="7">
        <v>76</v>
      </c>
      <c r="R13" s="8">
        <v>785</v>
      </c>
      <c r="S13" s="1">
        <v>324</v>
      </c>
      <c r="T13" s="7">
        <v>203</v>
      </c>
      <c r="V13" s="7">
        <v>32</v>
      </c>
      <c r="W13" s="1">
        <v>15</v>
      </c>
      <c r="X13" s="1">
        <v>9</v>
      </c>
      <c r="Z13" s="1">
        <v>177</v>
      </c>
      <c r="AA13" s="1">
        <v>148</v>
      </c>
      <c r="AB13" s="1">
        <v>33</v>
      </c>
      <c r="AL13" s="20">
        <v>78</v>
      </c>
      <c r="AM13" s="1">
        <v>15</v>
      </c>
      <c r="AN13" s="1">
        <v>1</v>
      </c>
      <c r="AP13" s="20">
        <v>637</v>
      </c>
      <c r="AQ13" s="20">
        <v>206</v>
      </c>
      <c r="AR13" s="20">
        <v>35</v>
      </c>
      <c r="AT13" s="1">
        <v>828</v>
      </c>
      <c r="AU13" s="1">
        <v>175</v>
      </c>
      <c r="AV13" s="1">
        <v>20</v>
      </c>
      <c r="AX13" s="1">
        <v>322</v>
      </c>
      <c r="AY13" s="1">
        <v>69</v>
      </c>
      <c r="AZ13" s="1">
        <v>54</v>
      </c>
      <c r="BB13" s="62">
        <v>17</v>
      </c>
      <c r="BC13" s="1">
        <v>1</v>
      </c>
      <c r="BD13" s="1">
        <v>13</v>
      </c>
      <c r="BF13" s="1">
        <v>9</v>
      </c>
      <c r="BG13" s="1">
        <v>2</v>
      </c>
      <c r="BH13" s="1">
        <v>6</v>
      </c>
      <c r="BJ13" s="121">
        <v>832</v>
      </c>
      <c r="BK13" s="123">
        <v>20</v>
      </c>
      <c r="BL13" s="120">
        <v>28</v>
      </c>
      <c r="BN13" s="1">
        <v>114</v>
      </c>
      <c r="BO13" s="1">
        <v>10</v>
      </c>
      <c r="BP13" s="1">
        <v>46</v>
      </c>
      <c r="BR13" s="243">
        <v>256</v>
      </c>
      <c r="BS13" s="243">
        <v>13</v>
      </c>
      <c r="BT13" s="243">
        <v>51</v>
      </c>
      <c r="BV13" s="208">
        <v>961</v>
      </c>
      <c r="BW13" s="208">
        <v>0</v>
      </c>
      <c r="BX13" s="208">
        <v>59</v>
      </c>
      <c r="BY13" s="208">
        <v>6</v>
      </c>
    </row>
    <row r="14" spans="1:77" x14ac:dyDescent="0.25">
      <c r="A14" s="1">
        <f t="shared" si="0"/>
        <v>31</v>
      </c>
      <c r="B14" s="6">
        <f t="shared" si="1"/>
        <v>40389</v>
      </c>
      <c r="C14" s="1" t="s">
        <v>70</v>
      </c>
      <c r="D14" s="6">
        <f t="shared" si="2"/>
        <v>40395</v>
      </c>
      <c r="F14" s="7">
        <v>258</v>
      </c>
      <c r="G14" s="1">
        <v>167</v>
      </c>
      <c r="H14" s="7">
        <v>35</v>
      </c>
      <c r="J14" s="7">
        <v>57</v>
      </c>
      <c r="K14" s="7">
        <v>167</v>
      </c>
      <c r="L14" s="7">
        <v>29</v>
      </c>
      <c r="N14" s="1">
        <v>75</v>
      </c>
      <c r="O14" s="1">
        <v>116</v>
      </c>
      <c r="P14" s="7">
        <v>83</v>
      </c>
      <c r="R14" s="8">
        <v>839</v>
      </c>
      <c r="S14" s="1">
        <v>331</v>
      </c>
      <c r="T14" s="7">
        <v>219</v>
      </c>
      <c r="V14" s="7">
        <v>103</v>
      </c>
      <c r="W14" s="1">
        <v>37</v>
      </c>
      <c r="X14" s="1">
        <v>17</v>
      </c>
      <c r="Z14" s="1">
        <v>178</v>
      </c>
      <c r="AA14" s="1">
        <v>154</v>
      </c>
      <c r="AB14" s="1">
        <v>35</v>
      </c>
      <c r="AD14" s="1">
        <v>43</v>
      </c>
      <c r="AE14" s="1">
        <v>54</v>
      </c>
      <c r="AF14" s="1">
        <v>1</v>
      </c>
      <c r="AH14" s="1">
        <v>62</v>
      </c>
      <c r="AI14" s="1">
        <v>33</v>
      </c>
      <c r="AJ14" s="1">
        <v>7</v>
      </c>
      <c r="AL14" s="20">
        <f>AL13+38</f>
        <v>116</v>
      </c>
      <c r="AM14" s="5">
        <f>18+AM13</f>
        <v>33</v>
      </c>
      <c r="AN14" s="1">
        <v>3</v>
      </c>
      <c r="AP14" s="20">
        <v>645</v>
      </c>
      <c r="AQ14" s="20">
        <v>216</v>
      </c>
      <c r="AR14" s="20">
        <v>37</v>
      </c>
      <c r="AT14" s="1">
        <v>888</v>
      </c>
      <c r="AU14" s="1">
        <v>177</v>
      </c>
      <c r="AV14" s="1">
        <v>26</v>
      </c>
      <c r="AX14" s="1">
        <v>334</v>
      </c>
      <c r="AY14" s="1">
        <v>69</v>
      </c>
      <c r="AZ14" s="1">
        <v>55</v>
      </c>
      <c r="BB14" s="62">
        <v>33</v>
      </c>
      <c r="BC14" s="1">
        <v>5</v>
      </c>
      <c r="BD14" s="1">
        <v>14</v>
      </c>
      <c r="BF14" s="1">
        <v>43</v>
      </c>
      <c r="BG14" s="1">
        <v>4</v>
      </c>
      <c r="BH14" s="1">
        <v>13</v>
      </c>
      <c r="BJ14" s="122" t="s">
        <v>41</v>
      </c>
      <c r="BK14" s="122" t="s">
        <v>41</v>
      </c>
      <c r="BL14" s="122" t="s">
        <v>41</v>
      </c>
      <c r="BN14" s="1">
        <v>167</v>
      </c>
      <c r="BO14" s="1">
        <v>13</v>
      </c>
      <c r="BP14" s="1">
        <v>67</v>
      </c>
      <c r="BR14" s="243">
        <v>261</v>
      </c>
      <c r="BS14" s="243">
        <v>13</v>
      </c>
      <c r="BT14" s="243">
        <v>52</v>
      </c>
      <c r="BV14" s="208">
        <v>1040</v>
      </c>
      <c r="BW14" s="208">
        <v>0</v>
      </c>
      <c r="BX14" s="208">
        <v>70</v>
      </c>
      <c r="BY14" s="208">
        <v>6</v>
      </c>
    </row>
    <row r="15" spans="1:77" x14ac:dyDescent="0.25">
      <c r="A15" s="1">
        <f t="shared" si="0"/>
        <v>32</v>
      </c>
      <c r="B15" s="6">
        <f t="shared" si="1"/>
        <v>40396</v>
      </c>
      <c r="C15" s="1" t="s">
        <v>70</v>
      </c>
      <c r="D15" s="6">
        <f t="shared" si="2"/>
        <v>40402</v>
      </c>
      <c r="F15" s="7">
        <v>411</v>
      </c>
      <c r="G15" s="1">
        <v>199</v>
      </c>
      <c r="H15" s="7">
        <v>41</v>
      </c>
      <c r="J15" s="7">
        <v>82</v>
      </c>
      <c r="K15" s="7">
        <v>207</v>
      </c>
      <c r="L15" s="7">
        <v>29</v>
      </c>
      <c r="N15" s="1">
        <v>206</v>
      </c>
      <c r="O15" s="1">
        <v>153</v>
      </c>
      <c r="P15" s="7">
        <v>87</v>
      </c>
      <c r="R15" s="8">
        <v>854</v>
      </c>
      <c r="S15" s="1">
        <v>333</v>
      </c>
      <c r="T15" s="7">
        <v>224</v>
      </c>
      <c r="V15" s="7">
        <v>123</v>
      </c>
      <c r="W15" s="1">
        <v>63</v>
      </c>
      <c r="X15" s="1">
        <v>25</v>
      </c>
      <c r="Z15" s="1">
        <v>180</v>
      </c>
      <c r="AA15" s="1">
        <v>155</v>
      </c>
      <c r="AB15" s="1">
        <v>35</v>
      </c>
      <c r="AD15" s="1">
        <v>80</v>
      </c>
      <c r="AE15" s="1">
        <v>103</v>
      </c>
      <c r="AF15" s="1">
        <v>2</v>
      </c>
      <c r="AH15" s="1">
        <v>83</v>
      </c>
      <c r="AI15" s="1">
        <v>90</v>
      </c>
      <c r="AJ15" s="1">
        <v>8</v>
      </c>
      <c r="AL15" s="20">
        <f>71+AL14</f>
        <v>187</v>
      </c>
      <c r="AM15" s="5">
        <f>6+33</f>
        <v>39</v>
      </c>
      <c r="AN15" s="1">
        <v>13</v>
      </c>
      <c r="AP15" s="20">
        <v>662</v>
      </c>
      <c r="AQ15" s="20">
        <v>218</v>
      </c>
      <c r="AR15" s="20">
        <v>40</v>
      </c>
      <c r="AT15" s="1">
        <v>916</v>
      </c>
      <c r="AU15" s="1">
        <v>178</v>
      </c>
      <c r="AV15" s="1">
        <v>27</v>
      </c>
      <c r="AX15" s="1">
        <v>340</v>
      </c>
      <c r="AY15" s="1">
        <v>69</v>
      </c>
      <c r="AZ15" s="1">
        <v>56</v>
      </c>
      <c r="BB15" s="62">
        <v>45</v>
      </c>
      <c r="BC15" s="1">
        <v>8</v>
      </c>
      <c r="BD15" s="1">
        <v>15</v>
      </c>
      <c r="BF15" s="1">
        <v>56</v>
      </c>
      <c r="BG15" s="1">
        <v>4</v>
      </c>
      <c r="BH15" s="1">
        <v>15</v>
      </c>
      <c r="BJ15" s="121">
        <v>838</v>
      </c>
      <c r="BK15" s="123">
        <v>20</v>
      </c>
      <c r="BL15" s="120">
        <v>30</v>
      </c>
      <c r="BN15" s="1">
        <v>294</v>
      </c>
      <c r="BO15" s="1">
        <v>18</v>
      </c>
      <c r="BP15" s="1">
        <v>71</v>
      </c>
      <c r="BR15" s="243">
        <v>303</v>
      </c>
      <c r="BS15" s="243">
        <v>13</v>
      </c>
      <c r="BT15" s="243">
        <v>54</v>
      </c>
      <c r="BV15" s="208">
        <v>1040</v>
      </c>
      <c r="BW15" s="208">
        <v>0</v>
      </c>
      <c r="BX15" s="208">
        <v>70</v>
      </c>
      <c r="BY15" s="208">
        <v>6</v>
      </c>
    </row>
    <row r="16" spans="1:77" ht="13.8" thickBot="1" x14ac:dyDescent="0.3">
      <c r="A16" s="1">
        <f t="shared" si="0"/>
        <v>33</v>
      </c>
      <c r="B16" s="6">
        <f t="shared" si="1"/>
        <v>40403</v>
      </c>
      <c r="C16" s="1" t="s">
        <v>70</v>
      </c>
      <c r="D16" s="6">
        <f t="shared" si="2"/>
        <v>40409</v>
      </c>
      <c r="F16" s="7">
        <v>465</v>
      </c>
      <c r="G16" s="1">
        <v>212</v>
      </c>
      <c r="H16" s="7">
        <v>47</v>
      </c>
      <c r="J16" s="7">
        <v>88</v>
      </c>
      <c r="K16" s="7">
        <v>215</v>
      </c>
      <c r="L16" s="7">
        <v>30</v>
      </c>
      <c r="N16" s="1">
        <v>296</v>
      </c>
      <c r="O16" s="1">
        <v>167</v>
      </c>
      <c r="P16" s="7">
        <v>93</v>
      </c>
      <c r="R16" s="8">
        <v>897</v>
      </c>
      <c r="S16" s="1">
        <v>335</v>
      </c>
      <c r="T16" s="7">
        <v>234</v>
      </c>
      <c r="V16" s="7">
        <v>144</v>
      </c>
      <c r="W16" s="1">
        <v>76</v>
      </c>
      <c r="X16" s="1">
        <v>28</v>
      </c>
      <c r="Z16" s="1">
        <v>203</v>
      </c>
      <c r="AA16" s="1">
        <v>155</v>
      </c>
      <c r="AB16" s="1">
        <v>35</v>
      </c>
      <c r="AD16" s="1">
        <v>111</v>
      </c>
      <c r="AE16" s="1">
        <v>118</v>
      </c>
      <c r="AF16" s="1">
        <v>2</v>
      </c>
      <c r="AH16" s="1">
        <v>108</v>
      </c>
      <c r="AI16" s="1">
        <v>115</v>
      </c>
      <c r="AJ16" s="1">
        <v>9</v>
      </c>
      <c r="AL16" s="53">
        <f>2+AL15</f>
        <v>189</v>
      </c>
      <c r="AM16" s="83">
        <v>41</v>
      </c>
      <c r="AN16" s="53">
        <v>13</v>
      </c>
      <c r="AP16" s="20">
        <v>694</v>
      </c>
      <c r="AQ16" s="20">
        <v>218</v>
      </c>
      <c r="AR16" s="20">
        <v>41</v>
      </c>
      <c r="AT16" s="1">
        <v>993</v>
      </c>
      <c r="AU16" s="1">
        <v>179</v>
      </c>
      <c r="AV16" s="1">
        <v>28</v>
      </c>
      <c r="AX16" s="53">
        <v>343</v>
      </c>
      <c r="AY16" s="53">
        <v>69</v>
      </c>
      <c r="AZ16" s="53">
        <v>56</v>
      </c>
      <c r="BB16" s="62">
        <v>84</v>
      </c>
      <c r="BC16" s="1">
        <v>9</v>
      </c>
      <c r="BD16" s="1">
        <v>21</v>
      </c>
      <c r="BF16" s="1">
        <v>83</v>
      </c>
      <c r="BG16" s="1">
        <v>9</v>
      </c>
      <c r="BH16" s="1">
        <v>20</v>
      </c>
      <c r="BJ16" s="121">
        <v>846</v>
      </c>
      <c r="BK16" s="123">
        <v>20</v>
      </c>
      <c r="BL16" s="120">
        <v>36</v>
      </c>
      <c r="BN16" s="1">
        <v>397</v>
      </c>
      <c r="BO16" s="1">
        <v>21</v>
      </c>
      <c r="BP16" s="1">
        <v>79</v>
      </c>
      <c r="BR16" s="243">
        <v>320</v>
      </c>
      <c r="BS16" s="243">
        <v>13</v>
      </c>
      <c r="BT16" s="243">
        <v>56</v>
      </c>
      <c r="BV16" s="208">
        <v>1040</v>
      </c>
      <c r="BW16" s="208">
        <v>0</v>
      </c>
      <c r="BX16" s="208">
        <v>70</v>
      </c>
      <c r="BY16" s="208">
        <v>6</v>
      </c>
    </row>
    <row r="17" spans="1:77" x14ac:dyDescent="0.25">
      <c r="A17" s="1">
        <f t="shared" si="0"/>
        <v>34</v>
      </c>
      <c r="B17" s="6">
        <f t="shared" si="1"/>
        <v>40410</v>
      </c>
      <c r="C17" s="1" t="s">
        <v>70</v>
      </c>
      <c r="D17" s="6">
        <f t="shared" si="2"/>
        <v>40416</v>
      </c>
      <c r="F17" s="11" t="s">
        <v>46</v>
      </c>
      <c r="G17" s="11" t="s">
        <v>46</v>
      </c>
      <c r="H17" s="11" t="s">
        <v>46</v>
      </c>
      <c r="J17" s="7">
        <v>153</v>
      </c>
      <c r="K17" s="7">
        <v>222</v>
      </c>
      <c r="L17" s="7">
        <v>38</v>
      </c>
      <c r="N17" s="1">
        <v>326</v>
      </c>
      <c r="O17" s="1">
        <v>170</v>
      </c>
      <c r="P17" s="7">
        <v>94</v>
      </c>
      <c r="R17" s="8">
        <v>911</v>
      </c>
      <c r="S17" s="1">
        <v>335</v>
      </c>
      <c r="T17" s="7">
        <v>239</v>
      </c>
      <c r="V17" s="7">
        <v>153</v>
      </c>
      <c r="W17" s="1">
        <v>88</v>
      </c>
      <c r="X17" s="1">
        <v>30</v>
      </c>
      <c r="Z17" s="1">
        <v>206</v>
      </c>
      <c r="AA17" s="1">
        <v>155</v>
      </c>
      <c r="AB17" s="1">
        <v>35</v>
      </c>
      <c r="AD17" s="1">
        <v>126</v>
      </c>
      <c r="AE17" s="1">
        <v>123</v>
      </c>
      <c r="AF17" s="1">
        <v>2</v>
      </c>
      <c r="AH17" s="1">
        <v>144</v>
      </c>
      <c r="AI17" s="1">
        <v>132</v>
      </c>
      <c r="AJ17" s="1">
        <v>13</v>
      </c>
      <c r="AL17" s="84"/>
      <c r="AM17" s="85"/>
      <c r="AN17" s="84"/>
      <c r="AP17" s="20">
        <v>704</v>
      </c>
      <c r="AQ17" s="20">
        <v>219</v>
      </c>
      <c r="AR17" s="20">
        <v>41</v>
      </c>
      <c r="AT17" s="1">
        <v>1012</v>
      </c>
      <c r="AU17" s="1">
        <v>181</v>
      </c>
      <c r="AV17" s="1">
        <v>29</v>
      </c>
      <c r="AX17" s="1"/>
      <c r="AY17" s="1"/>
      <c r="AZ17" s="1"/>
      <c r="BB17" s="62">
        <v>92</v>
      </c>
      <c r="BC17" s="1">
        <v>9</v>
      </c>
      <c r="BD17" s="1">
        <v>25</v>
      </c>
      <c r="BF17" s="1">
        <v>90</v>
      </c>
      <c r="BG17" s="1">
        <v>9</v>
      </c>
      <c r="BH17" s="1">
        <v>23</v>
      </c>
      <c r="BJ17" s="121">
        <v>855</v>
      </c>
      <c r="BK17" s="123">
        <v>20</v>
      </c>
      <c r="BL17" s="120">
        <v>37</v>
      </c>
      <c r="BN17" s="1">
        <v>441</v>
      </c>
      <c r="BO17" s="1">
        <v>21</v>
      </c>
      <c r="BP17" s="1">
        <v>88</v>
      </c>
      <c r="BR17" s="243">
        <v>332</v>
      </c>
      <c r="BS17" s="243">
        <v>13</v>
      </c>
      <c r="BT17" s="243">
        <v>58</v>
      </c>
      <c r="BV17" s="208">
        <v>1040</v>
      </c>
      <c r="BW17" s="208">
        <v>0</v>
      </c>
      <c r="BX17" s="208">
        <v>70</v>
      </c>
      <c r="BY17" s="208">
        <v>6</v>
      </c>
    </row>
    <row r="18" spans="1:77" x14ac:dyDescent="0.25">
      <c r="A18" s="1">
        <f t="shared" si="0"/>
        <v>35</v>
      </c>
      <c r="B18" s="6">
        <f t="shared" si="1"/>
        <v>40417</v>
      </c>
      <c r="C18" s="1" t="s">
        <v>70</v>
      </c>
      <c r="D18" s="6">
        <f t="shared" si="2"/>
        <v>40423</v>
      </c>
      <c r="F18" s="11" t="s">
        <v>46</v>
      </c>
      <c r="G18" s="11" t="s">
        <v>46</v>
      </c>
      <c r="H18" s="11" t="s">
        <v>46</v>
      </c>
      <c r="J18" s="7">
        <v>159</v>
      </c>
      <c r="K18" s="7">
        <v>224</v>
      </c>
      <c r="L18" s="7">
        <v>46</v>
      </c>
      <c r="N18" s="1">
        <v>341</v>
      </c>
      <c r="O18" s="1">
        <v>171</v>
      </c>
      <c r="P18" s="7">
        <v>97</v>
      </c>
      <c r="R18" s="8">
        <v>915</v>
      </c>
      <c r="S18" s="1">
        <v>335</v>
      </c>
      <c r="T18" s="7">
        <v>252</v>
      </c>
      <c r="V18" s="7">
        <v>156</v>
      </c>
      <c r="W18" s="1">
        <v>92</v>
      </c>
      <c r="X18" s="1">
        <v>32</v>
      </c>
      <c r="Z18" s="1">
        <v>208</v>
      </c>
      <c r="AA18" s="1">
        <v>157</v>
      </c>
      <c r="AB18" s="1">
        <v>38</v>
      </c>
      <c r="AD18" s="1">
        <v>134</v>
      </c>
      <c r="AE18" s="1">
        <v>126</v>
      </c>
      <c r="AF18" s="1">
        <v>2</v>
      </c>
      <c r="AH18" s="1">
        <v>147</v>
      </c>
      <c r="AI18" s="1">
        <v>134</v>
      </c>
      <c r="AJ18" s="1">
        <v>19</v>
      </c>
      <c r="AL18" s="79"/>
      <c r="AM18" s="5"/>
      <c r="AN18" s="4"/>
      <c r="AP18" s="20">
        <v>704</v>
      </c>
      <c r="AQ18" s="20">
        <v>219</v>
      </c>
      <c r="AR18" s="20">
        <v>41</v>
      </c>
      <c r="AT18" s="1">
        <v>1012</v>
      </c>
      <c r="AU18" s="1">
        <v>181</v>
      </c>
      <c r="AV18" s="1">
        <v>29</v>
      </c>
      <c r="AX18" s="283" t="s">
        <v>65</v>
      </c>
      <c r="AY18" s="283"/>
      <c r="AZ18" s="283"/>
      <c r="BB18" s="62">
        <v>94</v>
      </c>
      <c r="BC18" s="1">
        <v>9</v>
      </c>
      <c r="BD18" s="1">
        <v>39</v>
      </c>
      <c r="BF18" s="1">
        <v>120</v>
      </c>
      <c r="BG18" s="1">
        <v>9</v>
      </c>
      <c r="BH18" s="1">
        <v>34</v>
      </c>
      <c r="BJ18" s="121">
        <v>876</v>
      </c>
      <c r="BK18" s="123">
        <v>20</v>
      </c>
      <c r="BL18" s="120">
        <v>40</v>
      </c>
      <c r="BN18" s="1">
        <v>458</v>
      </c>
      <c r="BO18" s="1">
        <v>22</v>
      </c>
      <c r="BP18" s="1">
        <v>92</v>
      </c>
      <c r="BR18" s="243">
        <v>345</v>
      </c>
      <c r="BS18" s="243">
        <v>13</v>
      </c>
      <c r="BT18" s="243">
        <v>58</v>
      </c>
      <c r="BV18" s="208">
        <v>1070</v>
      </c>
      <c r="BW18" s="208">
        <v>0</v>
      </c>
      <c r="BX18" s="208">
        <v>74</v>
      </c>
      <c r="BY18" s="208">
        <v>6</v>
      </c>
    </row>
    <row r="19" spans="1:77" x14ac:dyDescent="0.25">
      <c r="A19" s="1">
        <f t="shared" si="0"/>
        <v>36</v>
      </c>
      <c r="B19" s="6">
        <f t="shared" si="1"/>
        <v>40424</v>
      </c>
      <c r="C19" s="1" t="s">
        <v>70</v>
      </c>
      <c r="D19" s="6">
        <f t="shared" si="2"/>
        <v>40430</v>
      </c>
      <c r="F19" s="11" t="s">
        <v>46</v>
      </c>
      <c r="G19" s="11" t="s">
        <v>46</v>
      </c>
      <c r="H19" s="11" t="s">
        <v>46</v>
      </c>
      <c r="J19" s="7">
        <v>185</v>
      </c>
      <c r="K19" s="7">
        <v>224</v>
      </c>
      <c r="L19" s="7">
        <v>52</v>
      </c>
      <c r="N19" s="1">
        <v>352</v>
      </c>
      <c r="O19" s="1">
        <v>177</v>
      </c>
      <c r="P19" s="1">
        <v>99</v>
      </c>
      <c r="R19" s="8">
        <v>923</v>
      </c>
      <c r="S19" s="1">
        <v>336</v>
      </c>
      <c r="T19" s="7">
        <v>259</v>
      </c>
      <c r="V19" s="7">
        <v>165</v>
      </c>
      <c r="W19" s="1">
        <v>95</v>
      </c>
      <c r="X19" s="1">
        <v>35</v>
      </c>
      <c r="Z19" s="1">
        <v>225</v>
      </c>
      <c r="AA19" s="1">
        <v>158</v>
      </c>
      <c r="AB19" s="1">
        <v>40</v>
      </c>
      <c r="AD19" s="1">
        <v>143</v>
      </c>
      <c r="AE19" s="1">
        <v>127</v>
      </c>
      <c r="AF19" s="1">
        <v>2</v>
      </c>
      <c r="AH19" s="1">
        <v>152</v>
      </c>
      <c r="AI19" s="1">
        <v>137</v>
      </c>
      <c r="AJ19" s="1">
        <v>55</v>
      </c>
      <c r="AL19" s="35"/>
      <c r="AM19" s="5"/>
      <c r="AP19" s="20">
        <v>704</v>
      </c>
      <c r="AQ19" s="20">
        <v>221</v>
      </c>
      <c r="AR19" s="20">
        <v>45</v>
      </c>
      <c r="AT19" s="1">
        <v>1018</v>
      </c>
      <c r="AU19" s="1">
        <v>184</v>
      </c>
      <c r="AV19" s="1">
        <v>30</v>
      </c>
      <c r="AX19" s="283" t="s">
        <v>62</v>
      </c>
      <c r="AY19" s="283"/>
      <c r="AZ19" s="283"/>
      <c r="BB19" s="62">
        <v>95</v>
      </c>
      <c r="BC19" s="1">
        <v>9</v>
      </c>
      <c r="BD19" s="1">
        <v>41</v>
      </c>
      <c r="BF19" s="1">
        <v>125</v>
      </c>
      <c r="BG19" s="1">
        <v>9</v>
      </c>
      <c r="BH19" s="1">
        <v>37</v>
      </c>
      <c r="BJ19" s="121">
        <v>886</v>
      </c>
      <c r="BK19" s="123">
        <v>20</v>
      </c>
      <c r="BL19" s="120">
        <v>40</v>
      </c>
      <c r="BN19" s="1">
        <v>459</v>
      </c>
      <c r="BO19" s="1">
        <v>22</v>
      </c>
      <c r="BP19" s="1">
        <v>93</v>
      </c>
      <c r="BR19" s="243">
        <v>350</v>
      </c>
      <c r="BS19" s="243">
        <v>13</v>
      </c>
      <c r="BT19" s="243">
        <v>58</v>
      </c>
      <c r="BV19" s="208">
        <v>1070</v>
      </c>
      <c r="BW19" s="208">
        <v>0</v>
      </c>
      <c r="BX19" s="208">
        <v>74</v>
      </c>
      <c r="BY19" s="208">
        <v>6</v>
      </c>
    </row>
    <row r="20" spans="1:77" ht="13.8" thickBot="1" x14ac:dyDescent="0.3">
      <c r="A20" s="1">
        <f t="shared" si="0"/>
        <v>37</v>
      </c>
      <c r="B20" s="6">
        <f>B19+7</f>
        <v>40431</v>
      </c>
      <c r="C20" s="1" t="s">
        <v>70</v>
      </c>
      <c r="D20" s="6">
        <f>D19+7</f>
        <v>40437</v>
      </c>
      <c r="F20" s="1">
        <v>517</v>
      </c>
      <c r="G20" s="1">
        <v>215</v>
      </c>
      <c r="H20" s="1">
        <v>58</v>
      </c>
      <c r="J20" s="7">
        <v>204</v>
      </c>
      <c r="K20" s="7">
        <v>225</v>
      </c>
      <c r="L20" s="7">
        <v>55</v>
      </c>
      <c r="N20" s="1">
        <v>362</v>
      </c>
      <c r="O20" s="1">
        <v>177</v>
      </c>
      <c r="P20" s="1">
        <v>101</v>
      </c>
      <c r="R20" s="4">
        <v>928</v>
      </c>
      <c r="S20" s="1">
        <v>337</v>
      </c>
      <c r="T20" s="1">
        <v>265</v>
      </c>
      <c r="V20" s="1">
        <v>179</v>
      </c>
      <c r="W20" s="1">
        <v>96</v>
      </c>
      <c r="X20" s="1">
        <v>37</v>
      </c>
      <c r="Z20" s="1">
        <v>236</v>
      </c>
      <c r="AA20" s="1">
        <v>162</v>
      </c>
      <c r="AB20" s="1">
        <v>45</v>
      </c>
      <c r="AD20" s="1">
        <v>167</v>
      </c>
      <c r="AE20" s="1">
        <v>131</v>
      </c>
      <c r="AF20" s="1">
        <v>2</v>
      </c>
      <c r="AH20" s="1">
        <v>199</v>
      </c>
      <c r="AI20" s="1">
        <v>142</v>
      </c>
      <c r="AJ20" s="1">
        <v>55</v>
      </c>
      <c r="AL20" s="35"/>
      <c r="AM20" s="5"/>
      <c r="AP20" s="20">
        <v>719</v>
      </c>
      <c r="AQ20" s="20">
        <v>222</v>
      </c>
      <c r="AR20" s="20">
        <v>48</v>
      </c>
      <c r="AT20" s="53">
        <v>1018</v>
      </c>
      <c r="AU20" s="53">
        <v>185</v>
      </c>
      <c r="AV20" s="53">
        <v>33</v>
      </c>
      <c r="AX20" s="283" t="s">
        <v>63</v>
      </c>
      <c r="AY20" s="283"/>
      <c r="AZ20" s="283"/>
      <c r="BB20" s="62">
        <v>100</v>
      </c>
      <c r="BC20" s="1">
        <v>9</v>
      </c>
      <c r="BD20" s="1">
        <v>44</v>
      </c>
      <c r="BF20" s="1">
        <v>139</v>
      </c>
      <c r="BG20" s="1">
        <v>9</v>
      </c>
      <c r="BH20" s="1">
        <v>40</v>
      </c>
      <c r="BJ20" s="121">
        <v>905</v>
      </c>
      <c r="BK20" s="123">
        <v>20</v>
      </c>
      <c r="BL20" s="120">
        <v>45</v>
      </c>
      <c r="BN20" s="1">
        <v>477</v>
      </c>
      <c r="BO20" s="1">
        <v>23</v>
      </c>
      <c r="BP20" s="1">
        <v>101</v>
      </c>
      <c r="BR20" s="243">
        <v>351</v>
      </c>
      <c r="BS20" s="243">
        <v>13</v>
      </c>
      <c r="BT20" s="243">
        <v>58</v>
      </c>
      <c r="BV20" s="208">
        <v>1070</v>
      </c>
      <c r="BW20" s="208">
        <v>0</v>
      </c>
      <c r="BX20" s="208">
        <v>74</v>
      </c>
      <c r="BY20" s="208">
        <v>6</v>
      </c>
    </row>
    <row r="21" spans="1:77" x14ac:dyDescent="0.25">
      <c r="A21" s="1">
        <f t="shared" si="0"/>
        <v>38</v>
      </c>
      <c r="B21" s="6">
        <f>B20+7</f>
        <v>40438</v>
      </c>
      <c r="C21" s="1" t="s">
        <v>70</v>
      </c>
      <c r="D21" s="6">
        <f>D20+7</f>
        <v>40444</v>
      </c>
      <c r="F21" s="1">
        <v>588</v>
      </c>
      <c r="G21" s="1">
        <v>223</v>
      </c>
      <c r="H21" s="1">
        <v>78</v>
      </c>
      <c r="J21" s="7">
        <v>310</v>
      </c>
      <c r="K21" s="7">
        <v>226</v>
      </c>
      <c r="L21" s="7">
        <v>63</v>
      </c>
      <c r="N21" s="1">
        <v>382</v>
      </c>
      <c r="O21" s="1">
        <v>179</v>
      </c>
      <c r="P21" s="1">
        <v>121</v>
      </c>
      <c r="R21" s="4">
        <v>939</v>
      </c>
      <c r="S21" s="1">
        <v>337</v>
      </c>
      <c r="T21" s="1">
        <v>274</v>
      </c>
      <c r="V21" s="1">
        <v>201</v>
      </c>
      <c r="W21" s="1">
        <v>99</v>
      </c>
      <c r="X21" s="1">
        <v>41</v>
      </c>
      <c r="Z21" s="1">
        <v>246</v>
      </c>
      <c r="AA21" s="1">
        <v>165</v>
      </c>
      <c r="AB21" s="1">
        <v>48</v>
      </c>
      <c r="AD21" s="1">
        <v>187</v>
      </c>
      <c r="AE21" s="1">
        <v>134</v>
      </c>
      <c r="AF21" s="1">
        <v>4</v>
      </c>
      <c r="AH21" s="18">
        <v>247</v>
      </c>
      <c r="AI21" s="18">
        <v>147</v>
      </c>
      <c r="AJ21" s="18">
        <v>55</v>
      </c>
      <c r="AL21" s="35"/>
      <c r="AM21" s="5"/>
      <c r="AP21" s="20">
        <v>765</v>
      </c>
      <c r="AQ21" s="20">
        <v>223</v>
      </c>
      <c r="AR21" s="20">
        <v>62</v>
      </c>
      <c r="AT21" s="82"/>
      <c r="AU21" s="82"/>
      <c r="AV21" s="82"/>
      <c r="AW21" s="52"/>
      <c r="AX21" s="284" t="s">
        <v>64</v>
      </c>
      <c r="AY21" s="284"/>
      <c r="AZ21" s="284"/>
      <c r="BA21" s="3"/>
      <c r="BB21" s="62">
        <v>109</v>
      </c>
      <c r="BC21" s="1">
        <v>9</v>
      </c>
      <c r="BD21" s="1">
        <v>55</v>
      </c>
      <c r="BF21" s="1">
        <v>159</v>
      </c>
      <c r="BG21" s="1">
        <v>9</v>
      </c>
      <c r="BH21" s="1">
        <v>46</v>
      </c>
      <c r="BJ21" s="121">
        <v>948</v>
      </c>
      <c r="BK21" s="123">
        <v>20</v>
      </c>
      <c r="BL21" s="120">
        <v>56</v>
      </c>
      <c r="BN21" s="1">
        <v>502</v>
      </c>
      <c r="BO21" s="1">
        <v>23</v>
      </c>
      <c r="BP21" s="1">
        <v>109</v>
      </c>
      <c r="BR21" s="243">
        <v>357</v>
      </c>
      <c r="BS21" s="243">
        <v>13</v>
      </c>
      <c r="BT21" s="243">
        <v>63</v>
      </c>
      <c r="BV21" s="208">
        <v>1132</v>
      </c>
      <c r="BW21" s="208">
        <v>0</v>
      </c>
      <c r="BX21" s="208">
        <v>77</v>
      </c>
      <c r="BY21" s="208">
        <v>6</v>
      </c>
    </row>
    <row r="22" spans="1:77" ht="13.8" thickBot="1" x14ac:dyDescent="0.3">
      <c r="A22" s="1">
        <f t="shared" si="0"/>
        <v>39</v>
      </c>
      <c r="B22" s="6">
        <f>B21+7</f>
        <v>40445</v>
      </c>
      <c r="C22" s="1" t="s">
        <v>70</v>
      </c>
      <c r="D22" s="6">
        <f>D21+7</f>
        <v>40451</v>
      </c>
      <c r="F22" s="1">
        <v>711</v>
      </c>
      <c r="G22" s="1">
        <v>229</v>
      </c>
      <c r="H22" s="1">
        <v>96</v>
      </c>
      <c r="J22" s="7">
        <v>372</v>
      </c>
      <c r="K22" s="7">
        <v>239</v>
      </c>
      <c r="L22" s="7">
        <v>92</v>
      </c>
      <c r="N22" s="18">
        <v>401</v>
      </c>
      <c r="O22" s="18">
        <v>184</v>
      </c>
      <c r="P22" s="18">
        <v>174</v>
      </c>
      <c r="R22" s="18">
        <v>958</v>
      </c>
      <c r="S22" s="18">
        <v>338</v>
      </c>
      <c r="T22" s="18">
        <v>283</v>
      </c>
      <c r="V22" s="18">
        <v>206</v>
      </c>
      <c r="W22" s="18">
        <v>101</v>
      </c>
      <c r="X22" s="18">
        <v>41</v>
      </c>
      <c r="Z22" s="18">
        <v>268</v>
      </c>
      <c r="AA22" s="18">
        <v>168</v>
      </c>
      <c r="AB22" s="18">
        <v>56</v>
      </c>
      <c r="AD22" s="18">
        <v>222</v>
      </c>
      <c r="AE22" s="18">
        <v>144</v>
      </c>
      <c r="AF22" s="18">
        <v>11</v>
      </c>
      <c r="AK22" s="9"/>
      <c r="AL22" s="35"/>
      <c r="AM22" s="24"/>
      <c r="AN22" s="12"/>
      <c r="AP22" s="20">
        <v>826</v>
      </c>
      <c r="AQ22" s="20">
        <v>232</v>
      </c>
      <c r="AR22" s="20">
        <v>84</v>
      </c>
      <c r="AT22" s="3"/>
      <c r="AU22" s="3"/>
      <c r="AV22" s="3"/>
      <c r="AW22" s="3"/>
      <c r="AX22" s="3"/>
      <c r="AY22" s="3"/>
      <c r="AZ22" s="3"/>
      <c r="BA22" s="3"/>
      <c r="BB22" s="53">
        <v>154</v>
      </c>
      <c r="BC22" s="53">
        <v>10</v>
      </c>
      <c r="BD22" s="53">
        <v>67</v>
      </c>
      <c r="BF22" s="1">
        <v>187</v>
      </c>
      <c r="BG22" s="1">
        <v>9</v>
      </c>
      <c r="BH22" s="1">
        <v>47</v>
      </c>
      <c r="BJ22" s="121">
        <v>1045</v>
      </c>
      <c r="BK22" s="123">
        <v>20</v>
      </c>
      <c r="BL22" s="120">
        <v>61</v>
      </c>
      <c r="BN22" s="1">
        <v>541</v>
      </c>
      <c r="BO22" s="1">
        <v>23</v>
      </c>
      <c r="BP22" s="1">
        <v>120</v>
      </c>
      <c r="BR22" s="243">
        <v>407</v>
      </c>
      <c r="BS22" s="243">
        <v>14</v>
      </c>
      <c r="BT22" s="243">
        <v>76</v>
      </c>
      <c r="BV22" s="208">
        <v>1269</v>
      </c>
      <c r="BW22" s="208">
        <v>0</v>
      </c>
      <c r="BX22" s="208">
        <v>84</v>
      </c>
      <c r="BY22" s="208">
        <v>6</v>
      </c>
    </row>
    <row r="23" spans="1:77" ht="13.8" thickBot="1" x14ac:dyDescent="0.3">
      <c r="A23" s="1">
        <f t="shared" si="0"/>
        <v>40</v>
      </c>
      <c r="B23" s="6">
        <f>B22+7</f>
        <v>40452</v>
      </c>
      <c r="C23" s="1" t="s">
        <v>70</v>
      </c>
      <c r="D23" s="6">
        <f>D22+7</f>
        <v>40458</v>
      </c>
      <c r="F23" s="18">
        <v>897</v>
      </c>
      <c r="G23" s="18">
        <v>254</v>
      </c>
      <c r="H23" s="18">
        <v>176</v>
      </c>
      <c r="J23" s="45">
        <v>448</v>
      </c>
      <c r="K23" s="45">
        <v>255</v>
      </c>
      <c r="L23" s="45">
        <v>179</v>
      </c>
      <c r="O23" s="7"/>
      <c r="AH23" s="7"/>
      <c r="AI23" s="7"/>
      <c r="AJ23" s="7"/>
      <c r="AP23" s="18">
        <v>833</v>
      </c>
      <c r="AQ23" s="18">
        <v>232</v>
      </c>
      <c r="AR23" s="18">
        <v>84</v>
      </c>
      <c r="BB23" s="12"/>
      <c r="BC23" s="12"/>
      <c r="BD23" s="12"/>
      <c r="BF23" s="53">
        <v>208</v>
      </c>
      <c r="BG23" s="53">
        <v>9</v>
      </c>
      <c r="BH23" s="53">
        <v>52</v>
      </c>
      <c r="BJ23" s="124">
        <v>1078</v>
      </c>
      <c r="BK23" s="125">
        <v>20</v>
      </c>
      <c r="BL23" s="125">
        <v>66</v>
      </c>
      <c r="BN23" s="53">
        <v>546</v>
      </c>
      <c r="BO23" s="53">
        <v>23</v>
      </c>
      <c r="BP23" s="53">
        <v>121</v>
      </c>
      <c r="BR23" s="53">
        <v>411</v>
      </c>
      <c r="BS23" s="53">
        <v>14</v>
      </c>
      <c r="BT23" s="53">
        <v>78</v>
      </c>
      <c r="BV23" s="208">
        <v>1524</v>
      </c>
      <c r="BW23" s="208">
        <v>13</v>
      </c>
      <c r="BX23" s="208">
        <v>111</v>
      </c>
      <c r="BY23" s="208">
        <v>6</v>
      </c>
    </row>
    <row r="24" spans="1:77" x14ac:dyDescent="0.25">
      <c r="A24" s="1">
        <f t="shared" si="0"/>
        <v>41</v>
      </c>
      <c r="B24" s="6">
        <f t="shared" ref="B24:B34" si="3">B23+7</f>
        <v>40459</v>
      </c>
      <c r="C24" s="1" t="s">
        <v>70</v>
      </c>
      <c r="D24" s="6">
        <f t="shared" ref="D24:D34" si="4">D23+7</f>
        <v>40465</v>
      </c>
      <c r="J24" s="7"/>
      <c r="K24" s="7"/>
      <c r="L24" s="7"/>
      <c r="O24" s="7"/>
      <c r="AD24" s="7"/>
      <c r="AE24" s="7"/>
      <c r="AF24" s="7"/>
      <c r="AH24" s="7"/>
      <c r="AI24" s="7"/>
      <c r="AJ24" s="7"/>
      <c r="AK24" s="7"/>
      <c r="AP24" s="35"/>
      <c r="AQ24" s="12"/>
      <c r="AR24" s="12"/>
      <c r="BV24" s="208">
        <v>1624</v>
      </c>
      <c r="BW24" s="208">
        <v>15</v>
      </c>
      <c r="BX24" s="208">
        <v>113</v>
      </c>
      <c r="BY24" s="208">
        <v>7</v>
      </c>
    </row>
    <row r="25" spans="1:77" x14ac:dyDescent="0.25">
      <c r="A25" s="1">
        <f t="shared" si="0"/>
        <v>42</v>
      </c>
      <c r="B25" s="6">
        <f t="shared" si="3"/>
        <v>40466</v>
      </c>
      <c r="C25" s="1" t="s">
        <v>70</v>
      </c>
      <c r="D25" s="6">
        <f t="shared" si="4"/>
        <v>40472</v>
      </c>
      <c r="J25" s="7"/>
      <c r="K25" s="7"/>
      <c r="L25" s="7"/>
      <c r="O25" s="7"/>
      <c r="AD25" s="7"/>
      <c r="AE25" s="7"/>
      <c r="AF25" s="7"/>
      <c r="AK25" s="7"/>
      <c r="BV25" s="208">
        <v>1753</v>
      </c>
      <c r="BW25" s="208">
        <v>22</v>
      </c>
      <c r="BX25" s="208">
        <v>120</v>
      </c>
      <c r="BY25" s="208">
        <v>11</v>
      </c>
    </row>
    <row r="26" spans="1:77" x14ac:dyDescent="0.25">
      <c r="A26" s="1">
        <f t="shared" si="0"/>
        <v>43</v>
      </c>
      <c r="B26" s="6">
        <f t="shared" si="3"/>
        <v>40473</v>
      </c>
      <c r="C26" s="1" t="s">
        <v>70</v>
      </c>
      <c r="D26" s="6">
        <f t="shared" si="4"/>
        <v>40479</v>
      </c>
      <c r="F26" s="7"/>
      <c r="I26" s="3"/>
      <c r="R26"/>
      <c r="T26" s="3"/>
      <c r="U26" s="7"/>
      <c r="V26" s="7"/>
      <c r="W26" s="7"/>
      <c r="AC26"/>
      <c r="AE26" s="1"/>
      <c r="AG26" s="19"/>
      <c r="AN26"/>
      <c r="AP26"/>
      <c r="BV26" s="208">
        <v>1774</v>
      </c>
      <c r="BW26" s="208">
        <v>37</v>
      </c>
      <c r="BX26" s="208">
        <v>146</v>
      </c>
      <c r="BY26" s="208">
        <v>11</v>
      </c>
    </row>
    <row r="27" spans="1:77" x14ac:dyDescent="0.25">
      <c r="A27" s="1">
        <f t="shared" si="0"/>
        <v>44</v>
      </c>
      <c r="B27" s="6">
        <f t="shared" si="3"/>
        <v>40480</v>
      </c>
      <c r="C27" s="1" t="s">
        <v>70</v>
      </c>
      <c r="D27" s="6">
        <f t="shared" si="4"/>
        <v>40486</v>
      </c>
      <c r="F27" s="7"/>
      <c r="I27" s="3"/>
      <c r="R27"/>
      <c r="T27" s="3"/>
      <c r="U27" s="7"/>
      <c r="V27" s="7"/>
      <c r="W27" s="7"/>
      <c r="AC27"/>
      <c r="AE27" s="1"/>
      <c r="AG27" s="19"/>
      <c r="AN27"/>
      <c r="AP27"/>
      <c r="BV27" s="208">
        <v>1796</v>
      </c>
      <c r="BW27" s="208">
        <v>83</v>
      </c>
      <c r="BX27" s="208">
        <v>157</v>
      </c>
      <c r="BY27" s="208">
        <v>11</v>
      </c>
    </row>
    <row r="28" spans="1:77" x14ac:dyDescent="0.25">
      <c r="A28" s="1">
        <f t="shared" si="0"/>
        <v>45</v>
      </c>
      <c r="B28" s="6">
        <f t="shared" si="3"/>
        <v>40487</v>
      </c>
      <c r="C28" s="1" t="s">
        <v>70</v>
      </c>
      <c r="D28" s="6">
        <f t="shared" si="4"/>
        <v>40493</v>
      </c>
      <c r="F28" s="7"/>
      <c r="I28" s="3"/>
      <c r="R28"/>
      <c r="T28" s="3"/>
      <c r="U28" s="7"/>
      <c r="V28" s="7"/>
      <c r="W28" s="7"/>
      <c r="AC28"/>
      <c r="AE28" s="1"/>
      <c r="AG28" s="19"/>
      <c r="AN28"/>
      <c r="AP28"/>
      <c r="BV28" s="208">
        <v>1826</v>
      </c>
      <c r="BW28" s="208">
        <v>188</v>
      </c>
      <c r="BX28" s="208">
        <v>189</v>
      </c>
      <c r="BY28" s="208">
        <v>11</v>
      </c>
    </row>
    <row r="29" spans="1:77" x14ac:dyDescent="0.25">
      <c r="A29" s="1">
        <f t="shared" si="0"/>
        <v>46</v>
      </c>
      <c r="B29" s="6">
        <f t="shared" si="3"/>
        <v>40494</v>
      </c>
      <c r="C29" s="1" t="s">
        <v>70</v>
      </c>
      <c r="D29" s="6">
        <f t="shared" si="4"/>
        <v>40500</v>
      </c>
      <c r="F29" s="7"/>
      <c r="I29" s="3"/>
      <c r="R29"/>
      <c r="T29" s="3"/>
      <c r="U29" s="7"/>
      <c r="V29" s="7"/>
      <c r="W29" s="7"/>
      <c r="AC29"/>
      <c r="AE29" s="1"/>
      <c r="AG29" s="19"/>
      <c r="AN29"/>
      <c r="AP29"/>
      <c r="BV29" s="208">
        <v>1838</v>
      </c>
      <c r="BW29" s="208">
        <v>261</v>
      </c>
      <c r="BX29" s="208">
        <v>195</v>
      </c>
      <c r="BY29" s="208">
        <v>11</v>
      </c>
    </row>
    <row r="30" spans="1:77" x14ac:dyDescent="0.25">
      <c r="A30" s="1">
        <f t="shared" si="0"/>
        <v>47</v>
      </c>
      <c r="B30" s="6">
        <f t="shared" si="3"/>
        <v>40501</v>
      </c>
      <c r="C30" s="1" t="s">
        <v>70</v>
      </c>
      <c r="D30" s="6">
        <f t="shared" si="4"/>
        <v>40507</v>
      </c>
      <c r="F30" s="7"/>
      <c r="I30" s="3"/>
      <c r="R30"/>
      <c r="T30" s="3"/>
      <c r="U30" s="7"/>
      <c r="V30" s="7"/>
      <c r="W30" s="7"/>
      <c r="AC30"/>
      <c r="AE30" s="1"/>
      <c r="AG30" s="19"/>
      <c r="AN30"/>
      <c r="AP30"/>
      <c r="BV30" s="208">
        <v>1848</v>
      </c>
      <c r="BW30" s="208">
        <v>296</v>
      </c>
      <c r="BX30" s="208">
        <v>196</v>
      </c>
      <c r="BY30" s="208">
        <v>11</v>
      </c>
    </row>
    <row r="31" spans="1:77" x14ac:dyDescent="0.25">
      <c r="A31" s="1">
        <f t="shared" si="0"/>
        <v>48</v>
      </c>
      <c r="B31" s="6">
        <f t="shared" si="3"/>
        <v>40508</v>
      </c>
      <c r="C31" s="1" t="s">
        <v>70</v>
      </c>
      <c r="D31" s="6">
        <f t="shared" si="4"/>
        <v>40514</v>
      </c>
      <c r="F31" s="7"/>
      <c r="I31" s="3"/>
      <c r="R31"/>
      <c r="T31" s="3"/>
      <c r="U31" s="7"/>
      <c r="V31" s="7"/>
      <c r="W31" s="7"/>
      <c r="AC31"/>
      <c r="AE31" s="1"/>
      <c r="AG31" s="19"/>
      <c r="AN31"/>
      <c r="AP31"/>
      <c r="BV31" s="208">
        <v>1848</v>
      </c>
      <c r="BW31" s="208">
        <v>319</v>
      </c>
      <c r="BX31" s="208">
        <v>203</v>
      </c>
      <c r="BY31" s="208">
        <v>11</v>
      </c>
    </row>
    <row r="32" spans="1:77" x14ac:dyDescent="0.25">
      <c r="A32" s="1">
        <f t="shared" si="0"/>
        <v>49</v>
      </c>
      <c r="B32" s="6">
        <f t="shared" si="3"/>
        <v>40515</v>
      </c>
      <c r="C32" s="1" t="s">
        <v>70</v>
      </c>
      <c r="D32" s="6">
        <f t="shared" si="4"/>
        <v>40521</v>
      </c>
      <c r="I32" s="3"/>
      <c r="R32"/>
      <c r="T32" s="3"/>
      <c r="AC32"/>
      <c r="AE32" s="1"/>
      <c r="AG32" s="19"/>
      <c r="AN32"/>
      <c r="AP32"/>
      <c r="BV32" s="208">
        <v>1848</v>
      </c>
      <c r="BW32" s="208">
        <v>336</v>
      </c>
      <c r="BX32" s="208">
        <v>207</v>
      </c>
      <c r="BY32" s="208">
        <v>11</v>
      </c>
    </row>
    <row r="33" spans="1:77" x14ac:dyDescent="0.25">
      <c r="A33" s="1">
        <f t="shared" si="0"/>
        <v>50</v>
      </c>
      <c r="B33" s="6">
        <f t="shared" si="3"/>
        <v>40522</v>
      </c>
      <c r="C33" s="1" t="s">
        <v>70</v>
      </c>
      <c r="D33" s="6">
        <f t="shared" si="4"/>
        <v>40528</v>
      </c>
      <c r="I33" s="3"/>
      <c r="R33"/>
      <c r="T33" s="3"/>
      <c r="AC33"/>
      <c r="AE33" s="1"/>
      <c r="AG33" s="19"/>
      <c r="AN33"/>
      <c r="AP33"/>
      <c r="BV33" s="208">
        <v>1848</v>
      </c>
      <c r="BW33" s="208">
        <v>368</v>
      </c>
      <c r="BX33" s="208">
        <v>217</v>
      </c>
      <c r="BY33" s="208">
        <v>11</v>
      </c>
    </row>
    <row r="34" spans="1:77" ht="13.8" thickBot="1" x14ac:dyDescent="0.3">
      <c r="A34" s="1">
        <f t="shared" si="0"/>
        <v>51</v>
      </c>
      <c r="B34" s="6">
        <f t="shared" si="3"/>
        <v>40529</v>
      </c>
      <c r="C34" s="1" t="s">
        <v>70</v>
      </c>
      <c r="D34" s="6">
        <f t="shared" si="4"/>
        <v>40535</v>
      </c>
      <c r="I34" s="3"/>
      <c r="R34"/>
      <c r="T34" s="3"/>
      <c r="AC34"/>
      <c r="AE34" s="1"/>
      <c r="AG34" s="19"/>
      <c r="AN34"/>
      <c r="AP34"/>
      <c r="BV34" s="88">
        <v>1848</v>
      </c>
      <c r="BW34" s="88">
        <v>372</v>
      </c>
      <c r="BX34" s="88">
        <v>222</v>
      </c>
      <c r="BY34" s="88">
        <v>11</v>
      </c>
    </row>
    <row r="35" spans="1:77" x14ac:dyDescent="0.25">
      <c r="A35" s="1"/>
      <c r="B35" s="6"/>
      <c r="C35" s="1"/>
      <c r="D35" s="6"/>
      <c r="I35" s="3"/>
      <c r="R35"/>
      <c r="T35" s="3"/>
      <c r="AC35"/>
      <c r="AE35" s="1"/>
      <c r="AG35" s="19"/>
      <c r="AN35"/>
      <c r="AP35"/>
    </row>
    <row r="36" spans="1:77" x14ac:dyDescent="0.25">
      <c r="A36" s="1"/>
      <c r="B36" s="6"/>
      <c r="C36" s="1"/>
      <c r="D36" s="6"/>
      <c r="I36" s="3"/>
      <c r="R36"/>
      <c r="T36" s="3"/>
      <c r="AC36"/>
      <c r="AE36" s="1"/>
      <c r="AG36" s="19"/>
      <c r="AN36"/>
      <c r="AP36"/>
    </row>
    <row r="37" spans="1:77" x14ac:dyDescent="0.25">
      <c r="A37" s="1"/>
      <c r="B37" s="6"/>
      <c r="C37" s="1"/>
      <c r="D37" s="6"/>
      <c r="I37" s="3"/>
      <c r="R37"/>
      <c r="T37" s="3"/>
      <c r="AC37"/>
      <c r="AE37" s="1"/>
      <c r="AG37" s="19"/>
      <c r="AN37"/>
      <c r="AP37"/>
    </row>
    <row r="38" spans="1:77" x14ac:dyDescent="0.25">
      <c r="A38" s="1"/>
      <c r="B38" s="6"/>
      <c r="C38" s="1"/>
      <c r="D38" s="6"/>
      <c r="I38" s="3"/>
      <c r="R38"/>
      <c r="T38" s="3"/>
      <c r="AC38"/>
      <c r="AE38" s="1"/>
      <c r="AG38" s="19"/>
      <c r="AN38"/>
      <c r="AP38"/>
    </row>
    <row r="39" spans="1:77" x14ac:dyDescent="0.25">
      <c r="I39" s="3"/>
      <c r="R39"/>
      <c r="T39" s="3"/>
      <c r="AC39"/>
      <c r="AE39" s="1"/>
      <c r="AG39" s="19"/>
      <c r="AN39"/>
      <c r="AP39"/>
    </row>
    <row r="40" spans="1:77" x14ac:dyDescent="0.25">
      <c r="I40" s="3"/>
      <c r="R40"/>
      <c r="T40" s="3"/>
      <c r="AC40"/>
      <c r="AE40" s="1"/>
      <c r="AG40" s="19"/>
      <c r="AN40"/>
      <c r="AP40"/>
    </row>
    <row r="41" spans="1:77" x14ac:dyDescent="0.25">
      <c r="I41" s="3"/>
      <c r="R41"/>
      <c r="T41" s="3"/>
      <c r="AC41"/>
      <c r="AE41" s="1"/>
      <c r="AG41" s="19"/>
      <c r="AN41"/>
      <c r="AP41"/>
    </row>
    <row r="42" spans="1:77" x14ac:dyDescent="0.25">
      <c r="I42" s="3"/>
      <c r="R42"/>
      <c r="T42" s="3"/>
      <c r="AC42"/>
      <c r="AE42" s="1"/>
      <c r="AG42" s="19"/>
      <c r="AN42"/>
      <c r="AP42"/>
    </row>
    <row r="43" spans="1:77" x14ac:dyDescent="0.25">
      <c r="I43" s="3"/>
      <c r="R43"/>
      <c r="T43" s="3"/>
      <c r="AC43"/>
      <c r="AE43" s="1"/>
      <c r="AG43" s="19"/>
      <c r="AN43"/>
      <c r="AP43"/>
    </row>
    <row r="44" spans="1:77" x14ac:dyDescent="0.25">
      <c r="I44" s="3"/>
      <c r="R44"/>
      <c r="T44" s="3"/>
      <c r="AC44"/>
      <c r="AE44" s="1"/>
      <c r="AG44" s="19"/>
      <c r="AN44"/>
      <c r="AP44"/>
    </row>
    <row r="45" spans="1:77" x14ac:dyDescent="0.25">
      <c r="I45" s="3"/>
      <c r="R45"/>
      <c r="T45" s="3"/>
      <c r="AC45"/>
      <c r="AE45" s="1"/>
      <c r="AG45" s="19"/>
      <c r="AN45"/>
      <c r="AP45"/>
    </row>
    <row r="46" spans="1:77" x14ac:dyDescent="0.25">
      <c r="I46" s="3"/>
      <c r="R46"/>
      <c r="T46" s="3"/>
      <c r="AC46"/>
      <c r="AE46" s="1"/>
      <c r="AG46" s="19"/>
      <c r="AN46"/>
      <c r="AP46"/>
    </row>
  </sheetData>
  <mergeCells count="11">
    <mergeCell ref="BV3:BY3"/>
    <mergeCell ref="BN3:BP3"/>
    <mergeCell ref="BR3:BT3"/>
    <mergeCell ref="AX18:AZ18"/>
    <mergeCell ref="AX19:AZ19"/>
    <mergeCell ref="AX20:AZ20"/>
    <mergeCell ref="AX21:AZ21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99" customFormat="1" x14ac:dyDescent="0.25">
      <c r="B1" s="100"/>
      <c r="C1" s="100"/>
      <c r="D1" s="100"/>
      <c r="E1" s="100" t="s">
        <v>131</v>
      </c>
      <c r="F1" s="100"/>
      <c r="G1" s="100"/>
      <c r="H1" s="100"/>
      <c r="I1" s="100"/>
      <c r="J1" s="101"/>
      <c r="K1" s="101"/>
      <c r="L1" s="101"/>
      <c r="M1" s="101"/>
      <c r="N1" s="101"/>
      <c r="O1" s="101"/>
      <c r="Q1" s="100" t="str">
        <f>E1</f>
        <v>Trinity River Hatchery, cumulative weekly trapping totals, 2004-2020.</v>
      </c>
      <c r="R1" s="100"/>
      <c r="S1" s="100"/>
      <c r="T1" s="100"/>
      <c r="U1" s="100"/>
      <c r="V1" s="100"/>
      <c r="W1" s="100"/>
      <c r="X1" s="100"/>
      <c r="Y1" s="100"/>
      <c r="Z1" s="101"/>
      <c r="AA1" s="101"/>
      <c r="AB1" s="101"/>
      <c r="AC1" s="100" t="str">
        <f>E1</f>
        <v>Trinity River Hatchery, cumulative weekly trapping totals, 2004-2020.</v>
      </c>
      <c r="AD1" s="101"/>
      <c r="AE1" s="101"/>
      <c r="AI1" s="102"/>
      <c r="AM1" s="103"/>
      <c r="AN1" s="103"/>
      <c r="AO1" s="100" t="str">
        <f>E1</f>
        <v>Trinity River Hatchery, cumulative weekly trapping totals, 2004-2020.</v>
      </c>
      <c r="AP1" s="100"/>
      <c r="AQ1" s="100"/>
      <c r="AR1" s="100"/>
      <c r="AS1" s="100"/>
      <c r="AT1" s="100"/>
      <c r="AU1" s="100"/>
      <c r="AV1" s="100"/>
      <c r="AW1" s="100"/>
      <c r="AX1" s="101"/>
      <c r="AY1" s="101"/>
      <c r="AZ1" s="101"/>
      <c r="BA1" s="100" t="str">
        <f>E1</f>
        <v>Trinity River Hatchery, cumulative weekly trapping totals, 2004-2020.</v>
      </c>
      <c r="BB1" s="101"/>
      <c r="BC1" s="101"/>
      <c r="BD1" s="101"/>
      <c r="BE1" s="102"/>
      <c r="BF1" s="102"/>
      <c r="BG1" s="102"/>
      <c r="BH1" s="102"/>
    </row>
    <row r="2" spans="1:71" s="99" customFormat="1" x14ac:dyDescent="0.25">
      <c r="B2" s="104"/>
      <c r="C2" s="104"/>
      <c r="D2" s="104"/>
      <c r="E2" s="300" t="s">
        <v>68</v>
      </c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105"/>
      <c r="Q2" s="300" t="s">
        <v>68</v>
      </c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106"/>
      <c r="AC2" s="300" t="s">
        <v>68</v>
      </c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103"/>
      <c r="AO2" s="301" t="s">
        <v>68</v>
      </c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BE2" s="102"/>
      <c r="BF2" s="102"/>
      <c r="BG2" s="102"/>
      <c r="BH2" s="102"/>
    </row>
    <row r="3" spans="1:71" s="9" customFormat="1" x14ac:dyDescent="0.25">
      <c r="A3" s="12" t="s">
        <v>20</v>
      </c>
      <c r="E3" s="40"/>
      <c r="F3" s="40">
        <v>2004</v>
      </c>
      <c r="G3" s="40"/>
      <c r="H3" s="54"/>
      <c r="I3" s="40"/>
      <c r="J3" s="40">
        <v>2005</v>
      </c>
      <c r="K3" s="40"/>
      <c r="L3" s="54"/>
      <c r="M3" s="40"/>
      <c r="N3" s="40">
        <v>2006</v>
      </c>
      <c r="O3" s="40"/>
      <c r="P3" s="12"/>
      <c r="Q3" s="40"/>
      <c r="R3" s="40">
        <v>2007</v>
      </c>
      <c r="S3" s="40"/>
      <c r="T3" s="54"/>
      <c r="U3" s="40"/>
      <c r="V3" s="40">
        <v>2008</v>
      </c>
      <c r="W3" s="40"/>
      <c r="X3" s="54"/>
      <c r="Y3" s="40"/>
      <c r="Z3" s="40">
        <v>2009</v>
      </c>
      <c r="AA3" s="40"/>
      <c r="AB3" s="49"/>
      <c r="AC3" s="40"/>
      <c r="AD3" s="40">
        <v>2010</v>
      </c>
      <c r="AE3" s="40"/>
      <c r="AF3" s="49"/>
      <c r="AG3" s="40"/>
      <c r="AH3" s="40">
        <v>2011</v>
      </c>
      <c r="AI3" s="40"/>
      <c r="AJ3" s="49"/>
      <c r="AK3" s="40"/>
      <c r="AL3" s="40">
        <v>2012</v>
      </c>
      <c r="AM3" s="40"/>
      <c r="AN3" s="41"/>
      <c r="AO3" s="40"/>
      <c r="AP3" s="40">
        <v>2013</v>
      </c>
      <c r="AQ3" s="40"/>
      <c r="AR3" s="49"/>
      <c r="AS3" s="40"/>
      <c r="AT3" s="40">
        <v>2014</v>
      </c>
      <c r="AU3" s="40"/>
      <c r="AV3" s="89"/>
      <c r="AW3" s="40"/>
      <c r="AX3" s="40">
        <v>2015</v>
      </c>
      <c r="AY3" s="40"/>
      <c r="BA3" s="40"/>
      <c r="BB3" s="40">
        <v>2016</v>
      </c>
      <c r="BC3" s="40"/>
      <c r="BD3" s="97"/>
      <c r="BE3" s="40"/>
      <c r="BF3" s="40">
        <v>2017</v>
      </c>
      <c r="BG3" s="40"/>
      <c r="BH3" s="40"/>
      <c r="BI3" s="220"/>
      <c r="BJ3" s="220">
        <v>2018</v>
      </c>
      <c r="BK3" s="97"/>
      <c r="BM3" s="41"/>
      <c r="BN3" s="239">
        <v>2019</v>
      </c>
      <c r="BO3" s="228"/>
      <c r="BQ3" s="41"/>
      <c r="BR3" s="242">
        <v>2020</v>
      </c>
      <c r="BS3" s="228"/>
    </row>
    <row r="4" spans="1:71" s="9" customFormat="1" x14ac:dyDescent="0.25">
      <c r="A4" s="18" t="s">
        <v>27</v>
      </c>
      <c r="B4" s="16" t="s">
        <v>28</v>
      </c>
      <c r="C4" s="16"/>
      <c r="D4" s="16"/>
      <c r="E4" s="18" t="s">
        <v>17</v>
      </c>
      <c r="F4" s="18" t="s">
        <v>18</v>
      </c>
      <c r="G4" s="18" t="s">
        <v>19</v>
      </c>
      <c r="H4" s="51"/>
      <c r="I4" s="18" t="s">
        <v>17</v>
      </c>
      <c r="J4" s="18" t="s">
        <v>18</v>
      </c>
      <c r="K4" s="18" t="s">
        <v>19</v>
      </c>
      <c r="L4" s="51"/>
      <c r="M4" s="18" t="s">
        <v>17</v>
      </c>
      <c r="N4" s="18" t="s">
        <v>18</v>
      </c>
      <c r="O4" s="18" t="s">
        <v>19</v>
      </c>
      <c r="P4" s="18"/>
      <c r="Q4" s="18" t="s">
        <v>17</v>
      </c>
      <c r="R4" s="18" t="s">
        <v>18</v>
      </c>
      <c r="S4" s="18" t="s">
        <v>19</v>
      </c>
      <c r="T4" s="51"/>
      <c r="U4" s="18" t="s">
        <v>17</v>
      </c>
      <c r="V4" s="18" t="s">
        <v>18</v>
      </c>
      <c r="W4" s="18" t="s">
        <v>19</v>
      </c>
      <c r="X4" s="51"/>
      <c r="Y4" s="18" t="s">
        <v>17</v>
      </c>
      <c r="Z4" s="18" t="s">
        <v>18</v>
      </c>
      <c r="AA4" s="18" t="s">
        <v>19</v>
      </c>
      <c r="AB4" s="34"/>
      <c r="AC4" s="18" t="s">
        <v>17</v>
      </c>
      <c r="AD4" s="18" t="s">
        <v>18</v>
      </c>
      <c r="AE4" s="18" t="s">
        <v>19</v>
      </c>
      <c r="AF4" s="34"/>
      <c r="AG4" s="18" t="s">
        <v>17</v>
      </c>
      <c r="AH4" s="18" t="s">
        <v>18</v>
      </c>
      <c r="AI4" s="18" t="s">
        <v>19</v>
      </c>
      <c r="AJ4" s="34"/>
      <c r="AK4" s="18" t="s">
        <v>17</v>
      </c>
      <c r="AL4" s="18" t="s">
        <v>18</v>
      </c>
      <c r="AM4" s="18" t="s">
        <v>19</v>
      </c>
      <c r="AN4" s="17"/>
      <c r="AO4" s="18" t="s">
        <v>17</v>
      </c>
      <c r="AP4" s="18" t="s">
        <v>18</v>
      </c>
      <c r="AQ4" s="18" t="s">
        <v>19</v>
      </c>
      <c r="AR4" s="34"/>
      <c r="AS4" s="18" t="s">
        <v>17</v>
      </c>
      <c r="AT4" s="18" t="s">
        <v>18</v>
      </c>
      <c r="AU4" s="18" t="s">
        <v>19</v>
      </c>
      <c r="AV4" s="90"/>
      <c r="AW4" s="18" t="s">
        <v>17</v>
      </c>
      <c r="AX4" s="18" t="s">
        <v>18</v>
      </c>
      <c r="AY4" s="18" t="s">
        <v>19</v>
      </c>
      <c r="BA4" s="61" t="s">
        <v>17</v>
      </c>
      <c r="BB4" s="61" t="s">
        <v>18</v>
      </c>
      <c r="BC4" s="61" t="s">
        <v>19</v>
      </c>
      <c r="BD4" s="98"/>
      <c r="BE4" s="78" t="s">
        <v>17</v>
      </c>
      <c r="BF4" s="78" t="s">
        <v>18</v>
      </c>
      <c r="BG4" s="78" t="s">
        <v>19</v>
      </c>
      <c r="BH4" s="108"/>
      <c r="BI4" s="219" t="s">
        <v>17</v>
      </c>
      <c r="BJ4" s="219" t="s">
        <v>18</v>
      </c>
      <c r="BK4" s="98" t="s">
        <v>19</v>
      </c>
      <c r="BM4" s="219" t="s">
        <v>17</v>
      </c>
      <c r="BN4" s="219" t="s">
        <v>18</v>
      </c>
      <c r="BO4" s="98" t="s">
        <v>19</v>
      </c>
      <c r="BQ4" s="241" t="s">
        <v>17</v>
      </c>
      <c r="BR4" s="241" t="s">
        <v>18</v>
      </c>
      <c r="BS4" s="98" t="s">
        <v>19</v>
      </c>
    </row>
    <row r="5" spans="1:71" x14ac:dyDescent="0.25">
      <c r="A5" s="1">
        <v>34</v>
      </c>
      <c r="B5" s="6">
        <v>40410</v>
      </c>
      <c r="C5" s="57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2" t="s">
        <v>48</v>
      </c>
      <c r="AT5" s="1"/>
      <c r="AU5" s="1"/>
      <c r="AV5" s="91"/>
      <c r="AW5" s="38" t="s">
        <v>48</v>
      </c>
      <c r="AX5" s="7"/>
      <c r="AY5" s="7"/>
      <c r="BA5" s="38" t="s">
        <v>48</v>
      </c>
      <c r="BB5" s="7"/>
      <c r="BC5" s="7"/>
      <c r="BD5" s="93"/>
      <c r="BE5" s="38" t="s">
        <v>48</v>
      </c>
      <c r="BG5" s="110"/>
      <c r="BH5" s="4"/>
      <c r="BI5" s="39" t="s">
        <v>48</v>
      </c>
      <c r="BJ5" s="4"/>
      <c r="BK5" s="91"/>
      <c r="BM5" s="3"/>
      <c r="BN5" s="3"/>
      <c r="BO5" s="96"/>
      <c r="BQ5" s="3"/>
      <c r="BR5" s="3"/>
      <c r="BS5" s="96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7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1"/>
      <c r="AW6" s="7"/>
      <c r="AX6" s="7"/>
      <c r="AY6" s="7"/>
      <c r="BA6" s="7"/>
      <c r="BB6" s="7"/>
      <c r="BC6" s="7"/>
      <c r="BD6" s="93"/>
      <c r="BG6" s="111"/>
      <c r="BH6" s="4"/>
      <c r="BI6" s="3"/>
      <c r="BJ6" s="3"/>
      <c r="BK6" s="96"/>
      <c r="BM6" s="3"/>
      <c r="BN6" s="3"/>
      <c r="BO6" s="96"/>
      <c r="BQ6" s="3"/>
      <c r="BR6" s="3"/>
      <c r="BS6" s="96"/>
    </row>
    <row r="7" spans="1:71" x14ac:dyDescent="0.25">
      <c r="A7" s="1">
        <f t="shared" si="0"/>
        <v>36</v>
      </c>
      <c r="B7" s="6">
        <f t="shared" si="1"/>
        <v>40424</v>
      </c>
      <c r="C7" s="57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8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1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3"/>
      <c r="BE7" s="1">
        <v>29</v>
      </c>
      <c r="BF7" s="1">
        <v>0</v>
      </c>
      <c r="BG7" s="111">
        <v>3</v>
      </c>
      <c r="BH7" s="4"/>
      <c r="BI7" s="4">
        <v>21</v>
      </c>
      <c r="BJ7" s="5">
        <v>0</v>
      </c>
      <c r="BK7" s="225">
        <v>1</v>
      </c>
      <c r="BM7" s="222">
        <v>201</v>
      </c>
      <c r="BN7" s="223">
        <v>0</v>
      </c>
      <c r="BO7" s="229">
        <v>3</v>
      </c>
      <c r="BQ7" s="222">
        <v>81</v>
      </c>
      <c r="BR7" s="222">
        <v>0</v>
      </c>
      <c r="BS7" s="245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7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8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1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3"/>
      <c r="BE8" s="1">
        <v>97</v>
      </c>
      <c r="BF8" s="1">
        <v>0</v>
      </c>
      <c r="BG8" s="111">
        <v>4</v>
      </c>
      <c r="BH8" s="4"/>
      <c r="BI8" s="4">
        <v>199</v>
      </c>
      <c r="BJ8" s="5">
        <v>0</v>
      </c>
      <c r="BK8" s="225">
        <v>1</v>
      </c>
      <c r="BM8" s="230">
        <v>1089</v>
      </c>
      <c r="BN8" s="223">
        <v>0</v>
      </c>
      <c r="BO8" s="231">
        <v>4</v>
      </c>
      <c r="BQ8" s="230">
        <v>202</v>
      </c>
      <c r="BR8" s="230">
        <v>0</v>
      </c>
      <c r="BS8" s="245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7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8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1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3"/>
      <c r="BE9" s="1">
        <v>358</v>
      </c>
      <c r="BF9" s="1">
        <v>0</v>
      </c>
      <c r="BG9" s="111">
        <v>4</v>
      </c>
      <c r="BH9" s="4"/>
      <c r="BI9" s="4">
        <v>725</v>
      </c>
      <c r="BJ9" s="5">
        <v>0</v>
      </c>
      <c r="BK9" s="225">
        <v>2</v>
      </c>
      <c r="BM9" s="230">
        <v>2718</v>
      </c>
      <c r="BN9" s="223">
        <v>0</v>
      </c>
      <c r="BO9" s="231">
        <v>5</v>
      </c>
      <c r="BQ9" s="230">
        <v>621</v>
      </c>
      <c r="BR9" s="230">
        <v>0</v>
      </c>
      <c r="BS9" s="245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7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8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1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3"/>
      <c r="BE10" s="1">
        <v>891</v>
      </c>
      <c r="BF10" s="1">
        <v>0</v>
      </c>
      <c r="BG10" s="111">
        <v>4</v>
      </c>
      <c r="BH10" s="4"/>
      <c r="BI10" s="4">
        <v>1542</v>
      </c>
      <c r="BJ10" s="5">
        <v>0</v>
      </c>
      <c r="BK10" s="225">
        <v>3</v>
      </c>
      <c r="BM10" s="230">
        <v>3625</v>
      </c>
      <c r="BN10" s="223">
        <v>0</v>
      </c>
      <c r="BO10" s="231">
        <v>5</v>
      </c>
      <c r="BQ10" s="230">
        <v>950</v>
      </c>
      <c r="BR10" s="230">
        <v>0</v>
      </c>
      <c r="BS10" s="245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7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8">
        <v>2519</v>
      </c>
      <c r="AP11" s="7">
        <v>4</v>
      </c>
      <c r="AQ11" s="7">
        <v>15</v>
      </c>
      <c r="AR11" s="10"/>
      <c r="AS11" s="18" t="s">
        <v>67</v>
      </c>
      <c r="AT11" s="1">
        <v>19</v>
      </c>
      <c r="AU11" s="1">
        <v>118</v>
      </c>
      <c r="AV11" s="91"/>
      <c r="AW11" s="39">
        <v>1881</v>
      </c>
      <c r="AX11" s="7">
        <v>11</v>
      </c>
      <c r="AY11" s="7">
        <v>65</v>
      </c>
      <c r="BA11" s="39">
        <v>2107</v>
      </c>
      <c r="BB11" s="7"/>
      <c r="BC11" s="7">
        <v>14</v>
      </c>
      <c r="BD11" s="93"/>
      <c r="BE11" s="12" t="s">
        <v>85</v>
      </c>
      <c r="BF11" s="1">
        <v>0</v>
      </c>
      <c r="BG11" s="112">
        <v>4</v>
      </c>
      <c r="BH11" s="5"/>
      <c r="BI11" s="79" t="s">
        <v>110</v>
      </c>
      <c r="BJ11" s="5">
        <v>0</v>
      </c>
      <c r="BK11" s="225">
        <v>7</v>
      </c>
      <c r="BM11" s="230">
        <v>4160</v>
      </c>
      <c r="BN11" s="223">
        <v>0</v>
      </c>
      <c r="BO11" s="231">
        <v>5</v>
      </c>
      <c r="BQ11" s="230">
        <v>1160</v>
      </c>
      <c r="BR11" s="230">
        <v>0</v>
      </c>
      <c r="BS11" s="245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7" t="s">
        <v>70</v>
      </c>
      <c r="D12" s="6">
        <f t="shared" si="2"/>
        <v>40465</v>
      </c>
      <c r="E12" s="13">
        <v>6550</v>
      </c>
      <c r="F12" s="7">
        <v>51</v>
      </c>
      <c r="G12" s="7">
        <v>29</v>
      </c>
      <c r="I12" s="13">
        <v>6990</v>
      </c>
      <c r="J12" s="7">
        <v>22</v>
      </c>
      <c r="K12" s="7">
        <v>14</v>
      </c>
      <c r="M12" s="13">
        <v>3818</v>
      </c>
      <c r="N12" s="7">
        <v>100</v>
      </c>
      <c r="O12" s="7">
        <v>33</v>
      </c>
      <c r="Q12" s="13">
        <v>6034</v>
      </c>
      <c r="R12" s="7">
        <v>2</v>
      </c>
      <c r="S12" s="7">
        <v>71</v>
      </c>
      <c r="U12" s="13">
        <v>3766</v>
      </c>
      <c r="V12" s="7">
        <v>10</v>
      </c>
      <c r="W12" s="7">
        <v>21</v>
      </c>
      <c r="Y12" s="13">
        <v>3069</v>
      </c>
      <c r="Z12" s="7">
        <v>1</v>
      </c>
      <c r="AA12" s="7">
        <v>7</v>
      </c>
      <c r="AC12" s="45">
        <v>2859</v>
      </c>
      <c r="AD12" s="7">
        <v>58</v>
      </c>
      <c r="AE12" s="7">
        <v>9</v>
      </c>
      <c r="AG12" s="45">
        <v>6581</v>
      </c>
      <c r="AH12" s="1">
        <v>10</v>
      </c>
      <c r="AI12" s="7">
        <v>30</v>
      </c>
      <c r="AK12" s="18" t="s">
        <v>49</v>
      </c>
      <c r="AL12" s="7">
        <v>24</v>
      </c>
      <c r="AM12" s="7">
        <v>19</v>
      </c>
      <c r="AN12" s="7"/>
      <c r="AO12" s="45" t="s">
        <v>53</v>
      </c>
      <c r="AP12" s="38">
        <v>6</v>
      </c>
      <c r="AQ12" s="38">
        <v>31</v>
      </c>
      <c r="AR12" s="10"/>
      <c r="AS12" s="1">
        <v>330</v>
      </c>
      <c r="AT12" s="1">
        <v>19</v>
      </c>
      <c r="AU12" s="1">
        <v>121</v>
      </c>
      <c r="AV12" s="91"/>
      <c r="AW12" s="45" t="s">
        <v>84</v>
      </c>
      <c r="AX12" s="7"/>
      <c r="AY12" s="7"/>
      <c r="BA12" s="45" t="s">
        <v>83</v>
      </c>
      <c r="BB12" s="7"/>
      <c r="BC12" s="7"/>
      <c r="BD12" s="93"/>
      <c r="BE12" s="296" t="s">
        <v>78</v>
      </c>
      <c r="BF12" s="291"/>
      <c r="BG12" s="297"/>
      <c r="BH12" s="221"/>
      <c r="BI12" s="290" t="s">
        <v>78</v>
      </c>
      <c r="BJ12" s="291"/>
      <c r="BK12" s="292"/>
      <c r="BM12" s="224" t="s">
        <v>116</v>
      </c>
      <c r="BN12" s="223">
        <v>0</v>
      </c>
      <c r="BO12" s="232">
        <v>7</v>
      </c>
      <c r="BQ12" s="234" t="s">
        <v>127</v>
      </c>
      <c r="BR12" s="230">
        <v>0</v>
      </c>
      <c r="BS12" s="245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7" t="s">
        <v>70</v>
      </c>
      <c r="D13" s="6">
        <f t="shared" si="2"/>
        <v>40472</v>
      </c>
      <c r="E13" s="7" t="s">
        <v>50</v>
      </c>
      <c r="F13" s="11" t="s">
        <v>51</v>
      </c>
      <c r="G13" s="11" t="s">
        <v>51</v>
      </c>
      <c r="I13" s="7" t="s">
        <v>50</v>
      </c>
      <c r="J13" s="11" t="s">
        <v>51</v>
      </c>
      <c r="K13" s="11" t="s">
        <v>51</v>
      </c>
      <c r="M13" s="7" t="s">
        <v>50</v>
      </c>
      <c r="N13" s="11" t="s">
        <v>51</v>
      </c>
      <c r="O13" s="11" t="s">
        <v>51</v>
      </c>
      <c r="Q13" s="7" t="s">
        <v>50</v>
      </c>
      <c r="R13" s="11" t="s">
        <v>51</v>
      </c>
      <c r="S13" s="11" t="s">
        <v>51</v>
      </c>
      <c r="U13" s="7" t="s">
        <v>50</v>
      </c>
      <c r="V13" s="11" t="s">
        <v>51</v>
      </c>
      <c r="W13" s="11" t="s">
        <v>51</v>
      </c>
      <c r="Y13" s="7" t="s">
        <v>50</v>
      </c>
      <c r="Z13" s="11" t="s">
        <v>51</v>
      </c>
      <c r="AA13" s="11" t="s">
        <v>51</v>
      </c>
      <c r="AC13" s="7" t="s">
        <v>50</v>
      </c>
      <c r="AD13" s="11" t="s">
        <v>51</v>
      </c>
      <c r="AE13" s="11" t="s">
        <v>51</v>
      </c>
      <c r="AG13" s="1" t="s">
        <v>50</v>
      </c>
      <c r="AH13" s="2" t="s">
        <v>51</v>
      </c>
      <c r="AI13" s="11" t="s">
        <v>51</v>
      </c>
      <c r="AK13" s="22" t="s">
        <v>50</v>
      </c>
      <c r="AL13" s="55" t="s">
        <v>51</v>
      </c>
      <c r="AM13" s="55" t="s">
        <v>51</v>
      </c>
      <c r="AN13" s="7"/>
      <c r="AO13" s="38" t="s">
        <v>54</v>
      </c>
      <c r="AP13" s="55" t="s">
        <v>51</v>
      </c>
      <c r="AQ13" s="55" t="s">
        <v>51</v>
      </c>
      <c r="AR13" s="38"/>
      <c r="AS13" s="22">
        <v>399</v>
      </c>
      <c r="AT13" s="1">
        <v>56</v>
      </c>
      <c r="AU13" s="1">
        <v>128</v>
      </c>
      <c r="AV13" s="91"/>
      <c r="AW13" s="38" t="s">
        <v>54</v>
      </c>
      <c r="AX13" s="7"/>
      <c r="AY13" s="7"/>
      <c r="BA13" s="38" t="s">
        <v>50</v>
      </c>
      <c r="BB13" s="7"/>
      <c r="BC13" s="7"/>
      <c r="BD13" s="93"/>
      <c r="BE13" s="294"/>
      <c r="BF13" s="294"/>
      <c r="BG13" s="298"/>
      <c r="BH13" s="221"/>
      <c r="BI13" s="293"/>
      <c r="BJ13" s="294"/>
      <c r="BK13" s="295"/>
      <c r="BM13" s="287" t="s">
        <v>117</v>
      </c>
      <c r="BN13" s="288"/>
      <c r="BO13" s="289"/>
      <c r="BQ13" s="287" t="s">
        <v>117</v>
      </c>
      <c r="BR13" s="288"/>
      <c r="BS13" s="289"/>
    </row>
    <row r="14" spans="1:71" x14ac:dyDescent="0.25">
      <c r="A14" s="1">
        <f t="shared" si="0"/>
        <v>43</v>
      </c>
      <c r="B14" s="6">
        <f t="shared" si="1"/>
        <v>40473</v>
      </c>
      <c r="C14" s="57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8">
        <v>1460</v>
      </c>
      <c r="AL14" s="7">
        <v>592</v>
      </c>
      <c r="AM14" s="7">
        <v>165</v>
      </c>
      <c r="AN14" s="7"/>
      <c r="AO14" s="38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1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3"/>
      <c r="BE14" s="1">
        <v>281</v>
      </c>
      <c r="BF14" s="1">
        <v>40</v>
      </c>
      <c r="BG14" s="113">
        <v>19</v>
      </c>
      <c r="BH14" s="5"/>
      <c r="BI14" s="4">
        <v>260</v>
      </c>
      <c r="BJ14" s="5">
        <v>27</v>
      </c>
      <c r="BK14" s="225">
        <v>29</v>
      </c>
      <c r="BM14" s="230">
        <v>88</v>
      </c>
      <c r="BN14" s="223">
        <v>0</v>
      </c>
      <c r="BO14" s="231">
        <v>7</v>
      </c>
      <c r="BQ14" s="230">
        <v>97</v>
      </c>
      <c r="BR14" s="230">
        <v>506</v>
      </c>
      <c r="BS14" s="245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7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8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1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3"/>
      <c r="BE15" s="87">
        <v>1303</v>
      </c>
      <c r="BF15" s="1">
        <v>74</v>
      </c>
      <c r="BG15" s="111">
        <v>50</v>
      </c>
      <c r="BH15" s="5"/>
      <c r="BI15" s="226">
        <v>1047</v>
      </c>
      <c r="BJ15" s="5">
        <v>61</v>
      </c>
      <c r="BK15" s="225">
        <v>37</v>
      </c>
      <c r="BM15" s="230">
        <v>274</v>
      </c>
      <c r="BN15" s="223">
        <v>0</v>
      </c>
      <c r="BO15" s="231">
        <v>8</v>
      </c>
      <c r="BQ15" s="230">
        <v>877</v>
      </c>
      <c r="BR15" s="230">
        <v>577</v>
      </c>
      <c r="BS15" s="245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7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8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1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3"/>
      <c r="BE16" s="87">
        <v>2388</v>
      </c>
      <c r="BF16" s="1">
        <v>97</v>
      </c>
      <c r="BG16" s="111">
        <v>69</v>
      </c>
      <c r="BH16" s="4"/>
      <c r="BI16" s="226">
        <v>2658</v>
      </c>
      <c r="BJ16" s="5">
        <v>134</v>
      </c>
      <c r="BK16" s="225">
        <v>46</v>
      </c>
      <c r="BM16" s="230">
        <v>340</v>
      </c>
      <c r="BN16" s="233">
        <v>16</v>
      </c>
      <c r="BO16" s="231">
        <v>8</v>
      </c>
      <c r="BQ16" s="230">
        <v>2861</v>
      </c>
      <c r="BR16" s="230">
        <v>604</v>
      </c>
      <c r="BS16" s="245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7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8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1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3"/>
      <c r="BE17" s="87">
        <v>3997</v>
      </c>
      <c r="BF17" s="1">
        <v>155</v>
      </c>
      <c r="BG17" s="111">
        <v>140</v>
      </c>
      <c r="BH17" s="4"/>
      <c r="BI17" s="226">
        <v>4472</v>
      </c>
      <c r="BJ17" s="5">
        <v>196</v>
      </c>
      <c r="BK17" s="225">
        <v>50</v>
      </c>
      <c r="BM17" s="230">
        <v>890</v>
      </c>
      <c r="BN17" s="233">
        <v>47</v>
      </c>
      <c r="BO17" s="231">
        <v>13</v>
      </c>
      <c r="BQ17" s="230">
        <v>5271</v>
      </c>
      <c r="BR17" s="230">
        <v>1106</v>
      </c>
      <c r="BS17" s="245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7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8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1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3"/>
      <c r="BE18" s="87">
        <v>4994</v>
      </c>
      <c r="BF18" s="1">
        <v>247</v>
      </c>
      <c r="BG18" s="111">
        <v>291</v>
      </c>
      <c r="BH18" s="4"/>
      <c r="BI18" s="226">
        <v>6033</v>
      </c>
      <c r="BJ18" s="5">
        <v>252</v>
      </c>
      <c r="BK18" s="225">
        <v>51</v>
      </c>
      <c r="BM18" s="230">
        <v>1240</v>
      </c>
      <c r="BN18" s="233">
        <v>115</v>
      </c>
      <c r="BO18" s="231">
        <v>14</v>
      </c>
      <c r="BQ18" s="230">
        <v>6238</v>
      </c>
      <c r="BR18" s="230">
        <v>1475</v>
      </c>
      <c r="BS18" s="245">
        <v>16</v>
      </c>
    </row>
    <row r="19" spans="1:72" x14ac:dyDescent="0.25">
      <c r="A19" s="1">
        <f t="shared" si="0"/>
        <v>48</v>
      </c>
      <c r="B19" s="6">
        <f>B18+7</f>
        <v>40508</v>
      </c>
      <c r="C19" s="57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39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1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3"/>
      <c r="BE19" s="87">
        <v>5524</v>
      </c>
      <c r="BF19" s="1">
        <v>342</v>
      </c>
      <c r="BG19" s="111">
        <v>615</v>
      </c>
      <c r="BH19" s="4"/>
      <c r="BI19" s="226">
        <v>6815</v>
      </c>
      <c r="BJ19" s="5">
        <v>483</v>
      </c>
      <c r="BK19" s="225">
        <v>150</v>
      </c>
      <c r="BM19" s="230">
        <v>1373</v>
      </c>
      <c r="BN19" s="233">
        <v>242</v>
      </c>
      <c r="BO19" s="231">
        <v>14</v>
      </c>
      <c r="BQ19" s="230">
        <v>6978</v>
      </c>
      <c r="BR19" s="230">
        <v>1670</v>
      </c>
      <c r="BS19" s="245">
        <v>25</v>
      </c>
    </row>
    <row r="20" spans="1:72" x14ac:dyDescent="0.25">
      <c r="A20" s="1">
        <f t="shared" si="0"/>
        <v>49</v>
      </c>
      <c r="B20" s="6">
        <f>B19+7</f>
        <v>40515</v>
      </c>
      <c r="C20" s="57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39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39">
        <v>7189</v>
      </c>
      <c r="AT20" s="7">
        <v>3227</v>
      </c>
      <c r="AU20" s="1">
        <v>1286</v>
      </c>
      <c r="AV20" s="91"/>
      <c r="AW20" s="39">
        <v>3349</v>
      </c>
      <c r="AX20" s="39">
        <v>3264</v>
      </c>
      <c r="AY20" s="7">
        <v>482</v>
      </c>
      <c r="BA20" s="39">
        <v>1539</v>
      </c>
      <c r="BB20" s="39">
        <v>451</v>
      </c>
      <c r="BC20" s="7">
        <v>540</v>
      </c>
      <c r="BD20" s="93"/>
      <c r="BE20" s="87">
        <v>5612</v>
      </c>
      <c r="BF20" s="1">
        <v>396</v>
      </c>
      <c r="BG20" s="111">
        <v>731</v>
      </c>
      <c r="BH20" s="4"/>
      <c r="BI20" s="226">
        <v>7163</v>
      </c>
      <c r="BJ20" s="5">
        <v>615</v>
      </c>
      <c r="BK20" s="225">
        <v>331</v>
      </c>
      <c r="BM20" s="230">
        <v>1540</v>
      </c>
      <c r="BN20" s="233">
        <v>341</v>
      </c>
      <c r="BO20" s="231">
        <v>15</v>
      </c>
      <c r="BQ20" s="230">
        <v>7057</v>
      </c>
      <c r="BR20" s="230">
        <v>1836</v>
      </c>
      <c r="BS20" s="245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7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39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5" t="s">
        <v>87</v>
      </c>
      <c r="AT21" s="7">
        <v>3267</v>
      </c>
      <c r="AU21" s="1">
        <v>1653</v>
      </c>
      <c r="AV21" s="91"/>
      <c r="AW21" s="45" t="s">
        <v>86</v>
      </c>
      <c r="AX21" s="39">
        <v>3319</v>
      </c>
      <c r="AY21" s="7">
        <v>1154</v>
      </c>
      <c r="BA21" s="39">
        <v>1540</v>
      </c>
      <c r="BB21" s="39">
        <v>524</v>
      </c>
      <c r="BC21" s="7">
        <v>582</v>
      </c>
      <c r="BD21" s="93"/>
      <c r="BE21" s="87">
        <v>5626</v>
      </c>
      <c r="BF21" s="1">
        <v>400</v>
      </c>
      <c r="BG21" s="111">
        <v>763</v>
      </c>
      <c r="BH21" s="4"/>
      <c r="BI21" s="226">
        <v>7268</v>
      </c>
      <c r="BJ21" s="5">
        <v>652</v>
      </c>
      <c r="BK21" s="225">
        <v>530</v>
      </c>
      <c r="BM21" s="230">
        <v>1551</v>
      </c>
      <c r="BN21" s="233">
        <v>502</v>
      </c>
      <c r="BO21" s="231">
        <v>20</v>
      </c>
      <c r="BQ21" s="230">
        <v>7083</v>
      </c>
      <c r="BR21" s="230">
        <v>2141</v>
      </c>
      <c r="BS21" s="245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7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3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39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1"/>
      <c r="AW22" s="7"/>
      <c r="AX22" s="7">
        <v>3330</v>
      </c>
      <c r="AY22" s="7">
        <v>1330</v>
      </c>
      <c r="BA22" s="39">
        <v>1543</v>
      </c>
      <c r="BB22" s="7">
        <v>527</v>
      </c>
      <c r="BC22" s="7">
        <v>805</v>
      </c>
      <c r="BD22" s="93"/>
      <c r="BE22" s="109" t="s">
        <v>111</v>
      </c>
      <c r="BF22" s="1">
        <v>411</v>
      </c>
      <c r="BG22" s="111">
        <v>783</v>
      </c>
      <c r="BH22" s="4"/>
      <c r="BI22" s="4">
        <v>7283</v>
      </c>
      <c r="BJ22" s="5">
        <v>682</v>
      </c>
      <c r="BK22" s="225">
        <v>583</v>
      </c>
      <c r="BM22" s="230">
        <v>1577</v>
      </c>
      <c r="BN22" s="233">
        <v>624</v>
      </c>
      <c r="BO22" s="231">
        <v>20</v>
      </c>
      <c r="BQ22" s="230">
        <v>7102</v>
      </c>
      <c r="BR22" s="230">
        <v>2327</v>
      </c>
      <c r="BS22" s="245">
        <v>41</v>
      </c>
      <c r="BT22" s="19"/>
    </row>
    <row r="23" spans="1:72" ht="16.2" thickBot="1" x14ac:dyDescent="0.3">
      <c r="A23" s="1">
        <f t="shared" si="0"/>
        <v>52</v>
      </c>
      <c r="B23" s="6">
        <f>B22+7</f>
        <v>40536</v>
      </c>
      <c r="C23" s="57" t="s">
        <v>70</v>
      </c>
      <c r="D23" s="6">
        <v>40543</v>
      </c>
      <c r="E23" s="13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3">
        <v>9049</v>
      </c>
      <c r="AD23" s="7">
        <v>4424</v>
      </c>
      <c r="AE23" s="7">
        <v>873</v>
      </c>
      <c r="AG23" s="13">
        <v>15721</v>
      </c>
      <c r="AH23" s="7">
        <v>4798</v>
      </c>
      <c r="AI23" s="7">
        <v>1620</v>
      </c>
      <c r="AK23" s="39">
        <v>17594</v>
      </c>
      <c r="AL23" s="7">
        <v>8236</v>
      </c>
      <c r="AM23" s="7">
        <v>3011</v>
      </c>
      <c r="AN23" s="7"/>
      <c r="AO23" s="56">
        <v>3851</v>
      </c>
      <c r="AP23" s="7">
        <v>6586</v>
      </c>
      <c r="AQ23" s="7">
        <v>480</v>
      </c>
      <c r="AS23" s="7"/>
      <c r="AT23" s="7">
        <v>3273</v>
      </c>
      <c r="AU23" s="22">
        <v>1920</v>
      </c>
      <c r="AV23" s="92"/>
      <c r="AW23" s="7"/>
      <c r="AX23" s="45">
        <v>3337</v>
      </c>
      <c r="AY23" s="38">
        <v>1558</v>
      </c>
      <c r="BA23" s="86" t="s">
        <v>82</v>
      </c>
      <c r="BB23" s="86">
        <v>527</v>
      </c>
      <c r="BC23" s="38">
        <v>843</v>
      </c>
      <c r="BD23" s="94"/>
      <c r="BF23" s="1">
        <v>416</v>
      </c>
      <c r="BG23" s="111">
        <v>790</v>
      </c>
      <c r="BH23" s="4"/>
      <c r="BI23" s="226">
        <v>7296</v>
      </c>
      <c r="BJ23" s="5">
        <v>745</v>
      </c>
      <c r="BK23" s="225">
        <v>847</v>
      </c>
      <c r="BM23" s="234" t="s">
        <v>118</v>
      </c>
      <c r="BN23" s="233">
        <v>649</v>
      </c>
      <c r="BO23" s="231">
        <v>47</v>
      </c>
      <c r="BQ23" s="230">
        <v>7102</v>
      </c>
      <c r="BR23" s="230">
        <v>2327</v>
      </c>
      <c r="BS23" s="245">
        <v>41</v>
      </c>
      <c r="BT23" s="19" t="s">
        <v>129</v>
      </c>
    </row>
    <row r="24" spans="1:72" x14ac:dyDescent="0.25">
      <c r="A24" s="1">
        <v>1</v>
      </c>
      <c r="B24" s="6">
        <v>40179</v>
      </c>
      <c r="C24" s="57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3">
        <v>5178</v>
      </c>
      <c r="W24" s="7">
        <v>901</v>
      </c>
      <c r="Y24" s="13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3">
        <v>4810</v>
      </c>
      <c r="AI24" s="7">
        <v>1963</v>
      </c>
      <c r="AK24" s="37">
        <v>17595</v>
      </c>
      <c r="AL24" s="13">
        <v>8238</v>
      </c>
      <c r="AM24" s="7">
        <v>3240</v>
      </c>
      <c r="AN24" s="7"/>
      <c r="AO24" s="13">
        <v>3851</v>
      </c>
      <c r="AP24" s="7">
        <v>6586</v>
      </c>
      <c r="AQ24" s="7">
        <v>480</v>
      </c>
      <c r="AS24" s="13"/>
      <c r="AT24" s="7">
        <v>3273</v>
      </c>
      <c r="AU24" s="7">
        <v>1986</v>
      </c>
      <c r="AV24" s="93"/>
      <c r="AW24" s="13"/>
      <c r="AX24" s="38"/>
      <c r="AY24" s="7">
        <v>1651</v>
      </c>
      <c r="BA24" s="13"/>
      <c r="BB24" s="38"/>
      <c r="BC24" s="7">
        <v>864</v>
      </c>
      <c r="BD24" s="93"/>
      <c r="BF24" s="1">
        <v>417</v>
      </c>
      <c r="BG24" s="111">
        <v>806</v>
      </c>
      <c r="BH24" s="4"/>
      <c r="BI24" s="226">
        <v>7303</v>
      </c>
      <c r="BJ24" s="3"/>
      <c r="BK24" s="225">
        <v>940</v>
      </c>
      <c r="BM24" s="235"/>
      <c r="BN24" s="235"/>
      <c r="BO24" s="231">
        <v>56</v>
      </c>
      <c r="BQ24" s="230">
        <v>7102</v>
      </c>
      <c r="BR24" s="230">
        <v>2331</v>
      </c>
      <c r="BS24" s="245">
        <v>66</v>
      </c>
    </row>
    <row r="25" spans="1:72" x14ac:dyDescent="0.25">
      <c r="A25" s="1">
        <v>2</v>
      </c>
      <c r="B25" s="6">
        <f>+B24+7</f>
        <v>40186</v>
      </c>
      <c r="C25" s="57" t="s">
        <v>70</v>
      </c>
      <c r="D25" s="6">
        <f>+D24+7</f>
        <v>40192</v>
      </c>
      <c r="F25" s="7">
        <v>10982</v>
      </c>
      <c r="G25" s="7">
        <v>2991</v>
      </c>
      <c r="I25" s="13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3">
        <v>5249</v>
      </c>
      <c r="V25" s="7"/>
      <c r="W25" s="7">
        <v>1170</v>
      </c>
      <c r="Y25" s="7"/>
      <c r="Z25" s="7">
        <v>3351</v>
      </c>
      <c r="AA25" s="7">
        <v>1995</v>
      </c>
      <c r="AD25" s="13">
        <v>4431</v>
      </c>
      <c r="AE25" s="7">
        <v>992</v>
      </c>
      <c r="AG25" s="1"/>
      <c r="AH25" s="1"/>
      <c r="AI25" s="7">
        <v>2648</v>
      </c>
      <c r="AK25" s="37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3"/>
      <c r="AW25" s="7"/>
      <c r="AX25" s="7"/>
      <c r="AY25" s="7">
        <v>1956</v>
      </c>
      <c r="BA25" s="7"/>
      <c r="BB25" s="7"/>
      <c r="BC25" s="7">
        <v>886</v>
      </c>
      <c r="BD25" s="93"/>
      <c r="BF25" s="1">
        <v>417</v>
      </c>
      <c r="BG25" s="114">
        <v>922</v>
      </c>
      <c r="BH25" s="8"/>
      <c r="BI25" s="226">
        <v>7304</v>
      </c>
      <c r="BJ25" s="3"/>
      <c r="BK25" s="225">
        <v>964</v>
      </c>
      <c r="BM25" s="235"/>
      <c r="BN25" s="235"/>
      <c r="BO25" s="231">
        <v>64</v>
      </c>
      <c r="BQ25" s="234" t="s">
        <v>128</v>
      </c>
      <c r="BR25" s="234">
        <v>2333</v>
      </c>
      <c r="BS25" s="245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7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3">
        <v>18357</v>
      </c>
      <c r="K26" s="7">
        <v>7074</v>
      </c>
      <c r="M26" s="7"/>
      <c r="N26" s="7">
        <v>10399</v>
      </c>
      <c r="O26" s="7">
        <v>6304</v>
      </c>
      <c r="Q26" s="13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3">
        <v>3352</v>
      </c>
      <c r="AA26" s="7">
        <v>2733</v>
      </c>
      <c r="AE26" s="7">
        <v>1217</v>
      </c>
      <c r="AG26" s="1"/>
      <c r="AH26" s="1"/>
      <c r="AI26" s="7">
        <v>3060</v>
      </c>
      <c r="AK26" s="37"/>
      <c r="AL26" s="7"/>
      <c r="AM26" s="7">
        <v>3788</v>
      </c>
      <c r="AN26" s="7"/>
      <c r="AO26" s="7"/>
      <c r="AP26" s="56">
        <v>6631</v>
      </c>
      <c r="AQ26" s="7">
        <v>1212</v>
      </c>
      <c r="AS26" s="7"/>
      <c r="AT26" s="45">
        <v>3274</v>
      </c>
      <c r="AU26" s="7">
        <v>2173</v>
      </c>
      <c r="AV26" s="93"/>
      <c r="AW26" s="7"/>
      <c r="AX26" s="15"/>
      <c r="AY26" s="7">
        <v>2297</v>
      </c>
      <c r="BA26" s="7"/>
      <c r="BB26" s="15"/>
      <c r="BC26" s="7">
        <v>940</v>
      </c>
      <c r="BD26" s="93"/>
      <c r="BF26" s="1">
        <v>418</v>
      </c>
      <c r="BG26" s="114">
        <v>1431</v>
      </c>
      <c r="BH26" s="8"/>
      <c r="BI26" s="226">
        <v>7305</v>
      </c>
      <c r="BJ26" s="3"/>
      <c r="BK26" s="225">
        <v>1119</v>
      </c>
      <c r="BM26" s="235"/>
      <c r="BN26" s="235"/>
      <c r="BO26" s="231">
        <v>74</v>
      </c>
      <c r="BQ26" s="230"/>
      <c r="BR26" s="230"/>
      <c r="BS26" s="245">
        <v>328</v>
      </c>
    </row>
    <row r="27" spans="1:72" ht="15.6" x14ac:dyDescent="0.25">
      <c r="A27" s="1">
        <v>4</v>
      </c>
      <c r="B27" s="6">
        <f t="shared" si="3"/>
        <v>40200</v>
      </c>
      <c r="C27" s="57" t="s">
        <v>70</v>
      </c>
      <c r="D27" s="6">
        <f t="shared" si="4"/>
        <v>40206</v>
      </c>
      <c r="F27" s="13">
        <v>10983</v>
      </c>
      <c r="G27" s="7">
        <v>4010</v>
      </c>
      <c r="K27" s="7">
        <v>7501</v>
      </c>
      <c r="M27" s="7"/>
      <c r="N27" s="13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7"/>
      <c r="AL27" s="7"/>
      <c r="AM27" s="7">
        <v>3947</v>
      </c>
      <c r="AN27" s="7"/>
      <c r="AO27" s="7"/>
      <c r="AP27" s="13">
        <v>6631</v>
      </c>
      <c r="AQ27" s="7">
        <v>1377</v>
      </c>
      <c r="AS27" s="7"/>
      <c r="AT27" s="1"/>
      <c r="AU27" s="7">
        <v>2283</v>
      </c>
      <c r="AV27" s="93"/>
      <c r="AW27" s="7"/>
      <c r="AX27" s="8"/>
      <c r="AY27" s="7">
        <v>2748</v>
      </c>
      <c r="BA27" s="7"/>
      <c r="BB27" s="8"/>
      <c r="BC27" s="7">
        <v>1089</v>
      </c>
      <c r="BD27" s="93"/>
      <c r="BF27" s="1">
        <v>420</v>
      </c>
      <c r="BG27" s="114">
        <v>1771</v>
      </c>
      <c r="BH27" s="8"/>
      <c r="BI27" s="79" t="s">
        <v>109</v>
      </c>
      <c r="BJ27" s="3"/>
      <c r="BK27" s="225">
        <v>1665</v>
      </c>
      <c r="BM27" s="235"/>
      <c r="BN27" s="235"/>
      <c r="BO27" s="231">
        <v>123</v>
      </c>
      <c r="BQ27" s="230"/>
      <c r="BR27" s="230"/>
      <c r="BS27" s="245">
        <v>454</v>
      </c>
    </row>
    <row r="28" spans="1:72" x14ac:dyDescent="0.25">
      <c r="A28" s="1">
        <v>5</v>
      </c>
      <c r="B28" s="6">
        <f t="shared" si="3"/>
        <v>40207</v>
      </c>
      <c r="C28" s="57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3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7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3"/>
      <c r="AW28" s="7"/>
      <c r="AX28" s="7"/>
      <c r="AY28" s="7">
        <v>2986</v>
      </c>
      <c r="BA28" s="7"/>
      <c r="BB28" s="7"/>
      <c r="BC28" s="7">
        <v>1226</v>
      </c>
      <c r="BD28" s="93"/>
      <c r="BG28" s="114">
        <v>1847</v>
      </c>
      <c r="BH28" s="8"/>
      <c r="BI28" s="5"/>
      <c r="BJ28" s="3"/>
      <c r="BK28" s="225">
        <v>1810</v>
      </c>
      <c r="BM28" s="235"/>
      <c r="BN28" s="235"/>
      <c r="BO28" s="231">
        <v>194</v>
      </c>
      <c r="BQ28" s="230"/>
      <c r="BR28" s="230"/>
      <c r="BS28" s="245">
        <v>495</v>
      </c>
    </row>
    <row r="29" spans="1:72" x14ac:dyDescent="0.25">
      <c r="A29" s="1">
        <v>6</v>
      </c>
      <c r="B29" s="6">
        <f t="shared" si="3"/>
        <v>40214</v>
      </c>
      <c r="C29" s="57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7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3"/>
      <c r="AW29" s="7"/>
      <c r="AX29" s="7"/>
      <c r="AY29" s="7">
        <v>3093</v>
      </c>
      <c r="BA29" s="7"/>
      <c r="BB29" s="7"/>
      <c r="BC29" s="7">
        <v>1387</v>
      </c>
      <c r="BD29" s="93"/>
      <c r="BG29" s="114">
        <v>1938</v>
      </c>
      <c r="BH29" s="8"/>
      <c r="BI29" s="5"/>
      <c r="BJ29" s="3"/>
      <c r="BK29" s="225">
        <v>1833</v>
      </c>
      <c r="BM29" s="235"/>
      <c r="BN29" s="235"/>
      <c r="BO29" s="231">
        <v>319</v>
      </c>
      <c r="BQ29" s="230"/>
      <c r="BR29" s="230"/>
      <c r="BS29" s="245">
        <v>534</v>
      </c>
    </row>
    <row r="30" spans="1:72" x14ac:dyDescent="0.25">
      <c r="A30" s="1">
        <v>7</v>
      </c>
      <c r="B30" s="6">
        <f t="shared" si="3"/>
        <v>40221</v>
      </c>
      <c r="C30" s="57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7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3"/>
      <c r="AW30" s="7"/>
      <c r="AX30" s="7"/>
      <c r="AY30" s="7">
        <v>3170</v>
      </c>
      <c r="BA30" s="7"/>
      <c r="BB30" s="7"/>
      <c r="BC30" s="7">
        <v>1508</v>
      </c>
      <c r="BD30" s="93"/>
      <c r="BG30" s="114">
        <v>2011</v>
      </c>
      <c r="BH30" s="8"/>
      <c r="BI30" s="5"/>
      <c r="BJ30" s="3"/>
      <c r="BK30" s="225">
        <v>1850</v>
      </c>
      <c r="BM30" s="235"/>
      <c r="BN30" s="235"/>
      <c r="BO30" s="231">
        <v>342</v>
      </c>
      <c r="BQ30" s="230"/>
      <c r="BR30" s="230"/>
      <c r="BS30" s="245">
        <v>547</v>
      </c>
    </row>
    <row r="31" spans="1:72" x14ac:dyDescent="0.25">
      <c r="A31" s="1">
        <v>8</v>
      </c>
      <c r="B31" s="6">
        <f t="shared" si="3"/>
        <v>40228</v>
      </c>
      <c r="C31" s="57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7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3"/>
      <c r="AW31" s="7"/>
      <c r="AX31" s="7"/>
      <c r="AY31" s="7">
        <v>3236</v>
      </c>
      <c r="BA31" s="7"/>
      <c r="BB31" s="7"/>
      <c r="BC31" s="7">
        <v>1555</v>
      </c>
      <c r="BD31" s="93"/>
      <c r="BG31" s="114">
        <v>2028</v>
      </c>
      <c r="BH31" s="8"/>
      <c r="BI31" s="5"/>
      <c r="BJ31" s="3"/>
      <c r="BK31" s="225">
        <v>1852</v>
      </c>
      <c r="BM31" s="235"/>
      <c r="BN31" s="235"/>
      <c r="BO31" s="231">
        <v>364</v>
      </c>
      <c r="BQ31" s="230"/>
      <c r="BR31" s="230"/>
      <c r="BS31" s="245">
        <v>569</v>
      </c>
    </row>
    <row r="32" spans="1:72" x14ac:dyDescent="0.25">
      <c r="A32" s="1">
        <v>9</v>
      </c>
      <c r="B32" s="6">
        <f t="shared" si="3"/>
        <v>40235</v>
      </c>
      <c r="C32" s="57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7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8">
        <v>2539</v>
      </c>
      <c r="AV32" s="94"/>
      <c r="AW32" s="7"/>
      <c r="AX32" s="7"/>
      <c r="AY32" s="38">
        <v>3256</v>
      </c>
      <c r="BA32" s="7"/>
      <c r="BB32" s="7"/>
      <c r="BC32" s="38">
        <v>1574</v>
      </c>
      <c r="BD32" s="94"/>
      <c r="BG32" s="115">
        <v>2037</v>
      </c>
      <c r="BH32" s="39"/>
      <c r="BI32" s="5"/>
      <c r="BJ32" s="3"/>
      <c r="BK32" s="225">
        <v>1873</v>
      </c>
      <c r="BM32" s="235"/>
      <c r="BN32" s="235"/>
      <c r="BO32" s="231">
        <v>378</v>
      </c>
      <c r="BQ32" s="230"/>
      <c r="BR32" s="230"/>
      <c r="BS32" s="245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7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3">
        <v>2495</v>
      </c>
      <c r="Y33" s="7"/>
      <c r="Z33" s="7"/>
      <c r="AA33" s="13">
        <v>4244</v>
      </c>
      <c r="AE33" s="13">
        <v>2037</v>
      </c>
      <c r="AG33" s="1"/>
      <c r="AH33" s="1"/>
      <c r="AI33" s="7">
        <v>5792</v>
      </c>
      <c r="AK33" s="37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5">
        <v>2550</v>
      </c>
      <c r="AV33" s="95"/>
      <c r="AW33" s="13">
        <f>3353+1988</f>
        <v>5341</v>
      </c>
      <c r="AX33" s="7"/>
      <c r="AY33" s="45">
        <v>3272</v>
      </c>
      <c r="BA33" s="13">
        <f>BA22+BA11</f>
        <v>3650</v>
      </c>
      <c r="BB33" s="7"/>
      <c r="BC33" s="86">
        <v>1574</v>
      </c>
      <c r="BD33" s="95"/>
      <c r="BE33" s="88">
        <f>1379+5632</f>
        <v>7011</v>
      </c>
      <c r="BF33" s="53">
        <v>420</v>
      </c>
      <c r="BG33" s="116">
        <v>2049</v>
      </c>
      <c r="BH33" s="15"/>
      <c r="BI33" s="88">
        <f>2908+7613</f>
        <v>10521</v>
      </c>
      <c r="BJ33" s="53">
        <v>745</v>
      </c>
      <c r="BK33" s="227">
        <v>1897</v>
      </c>
      <c r="BM33" s="86">
        <v>6064</v>
      </c>
      <c r="BN33" s="53">
        <v>649</v>
      </c>
      <c r="BO33" s="236">
        <v>386</v>
      </c>
      <c r="BQ33" s="244">
        <f>7103+1260</f>
        <v>8363</v>
      </c>
      <c r="BR33" s="244">
        <v>2333</v>
      </c>
      <c r="BS33" s="246">
        <v>585</v>
      </c>
    </row>
    <row r="34" spans="1:71" x14ac:dyDescent="0.25">
      <c r="A34" s="1">
        <v>11</v>
      </c>
      <c r="B34" s="6">
        <f t="shared" si="3"/>
        <v>40249</v>
      </c>
      <c r="C34" s="57" t="s">
        <v>70</v>
      </c>
      <c r="D34" s="6">
        <f t="shared" si="4"/>
        <v>40255</v>
      </c>
      <c r="G34" s="13">
        <v>5731</v>
      </c>
      <c r="K34" s="13">
        <v>8143</v>
      </c>
      <c r="M34" s="7"/>
      <c r="N34" s="7"/>
      <c r="O34" s="13">
        <v>11547</v>
      </c>
      <c r="Q34" s="7"/>
      <c r="R34" s="7"/>
      <c r="S34" s="13">
        <v>11399</v>
      </c>
      <c r="U34" s="8"/>
      <c r="V34" s="7"/>
      <c r="Y34" s="7"/>
      <c r="Z34" s="7"/>
      <c r="AA34" s="7"/>
      <c r="AG34" s="1"/>
      <c r="AH34" s="1"/>
      <c r="AI34" s="13">
        <v>5885</v>
      </c>
      <c r="AK34" s="37"/>
      <c r="AL34" s="7"/>
      <c r="AM34" s="13">
        <v>5737</v>
      </c>
      <c r="AN34" s="7"/>
      <c r="AO34" s="7"/>
      <c r="AP34" s="7"/>
      <c r="AQ34" s="13">
        <v>2392</v>
      </c>
      <c r="AV34" s="96"/>
      <c r="BD34" s="96"/>
    </row>
    <row r="35" spans="1:71" x14ac:dyDescent="0.25">
      <c r="A35" s="1">
        <v>12</v>
      </c>
      <c r="B35" s="6">
        <f t="shared" si="3"/>
        <v>40256</v>
      </c>
      <c r="C35" s="57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19" t="s">
        <v>56</v>
      </c>
      <c r="AV35" s="96"/>
      <c r="AW35" s="19" t="s">
        <v>56</v>
      </c>
      <c r="BA35" s="19" t="s">
        <v>56</v>
      </c>
      <c r="BD35" s="96"/>
      <c r="BE35" s="19" t="s">
        <v>79</v>
      </c>
      <c r="BI35" s="19" t="s">
        <v>79</v>
      </c>
      <c r="BM35" s="19" t="s">
        <v>79</v>
      </c>
      <c r="BQ35" s="19" t="s">
        <v>79</v>
      </c>
    </row>
    <row r="36" spans="1:71" ht="13.2" customHeight="1" x14ac:dyDescent="0.25">
      <c r="U36" s="7"/>
      <c r="V36" s="7"/>
      <c r="AK36" s="299" t="s">
        <v>52</v>
      </c>
      <c r="AL36" s="299"/>
      <c r="AS36" s="19" t="s">
        <v>57</v>
      </c>
      <c r="AV36" s="96"/>
      <c r="AW36" s="19" t="s">
        <v>57</v>
      </c>
      <c r="BA36" s="19" t="s">
        <v>57</v>
      </c>
      <c r="BD36" s="96"/>
      <c r="BE36" s="19" t="s">
        <v>80</v>
      </c>
      <c r="BI36" s="19" t="s">
        <v>80</v>
      </c>
      <c r="BM36" s="19" t="s">
        <v>80</v>
      </c>
      <c r="BQ36" s="19" t="s">
        <v>80</v>
      </c>
    </row>
    <row r="37" spans="1:71" x14ac:dyDescent="0.25">
      <c r="AK37" s="299"/>
      <c r="AL37" s="299"/>
      <c r="AV37" s="96"/>
      <c r="BD37" s="96"/>
      <c r="BQ37" s="19" t="s">
        <v>130</v>
      </c>
    </row>
    <row r="38" spans="1:71" x14ac:dyDescent="0.25">
      <c r="A38" s="9" t="s">
        <v>47</v>
      </c>
      <c r="AK38" s="299"/>
      <c r="AL38" s="299"/>
      <c r="AV38" s="96"/>
      <c r="BD38" s="96"/>
    </row>
  </sheetData>
  <mergeCells count="9">
    <mergeCell ref="E2:O2"/>
    <mergeCell ref="AO2:AY2"/>
    <mergeCell ref="Q2:AA2"/>
    <mergeCell ref="AC2:AM2"/>
    <mergeCell ref="BQ13:BS13"/>
    <mergeCell ref="BM13:BO13"/>
    <mergeCell ref="BI12:BK13"/>
    <mergeCell ref="BE12:BG13"/>
    <mergeCell ref="AK36:AL38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19" customWidth="1"/>
    <col min="2" max="2" width="7.44140625" style="19" customWidth="1"/>
    <col min="3" max="3" width="3.33203125" style="19" customWidth="1"/>
    <col min="4" max="4" width="8.6640625" style="19" customWidth="1"/>
    <col min="5" max="7" width="9.44140625" style="19" bestFit="1" customWidth="1"/>
    <col min="8" max="8" width="2.44140625" style="19" customWidth="1"/>
    <col min="9" max="9" width="9.44140625" style="19" bestFit="1" customWidth="1"/>
    <col min="10" max="10" width="9.33203125" style="19" bestFit="1" customWidth="1"/>
    <col min="11" max="11" width="9.44140625" style="19" bestFit="1" customWidth="1"/>
    <col min="12" max="12" width="2.44140625" style="19" customWidth="1"/>
    <col min="13" max="13" width="9.44140625" style="19" bestFit="1" customWidth="1"/>
    <col min="14" max="14" width="9.33203125" style="19" bestFit="1" customWidth="1"/>
    <col min="15" max="15" width="9.44140625" style="19" bestFit="1" customWidth="1"/>
    <col min="16" max="16" width="2.44140625" style="19" customWidth="1"/>
    <col min="17" max="17" width="9.44140625" style="19" bestFit="1" customWidth="1"/>
    <col min="18" max="18" width="9.33203125" style="19" bestFit="1" customWidth="1"/>
    <col min="19" max="19" width="9.44140625" style="19" bestFit="1" customWidth="1"/>
    <col min="20" max="20" width="2.44140625" style="19" customWidth="1"/>
    <col min="21" max="21" width="9.44140625" style="19" bestFit="1" customWidth="1"/>
    <col min="22" max="23" width="9.33203125" style="19" bestFit="1" customWidth="1"/>
    <col min="24" max="24" width="2.44140625" style="19" customWidth="1"/>
    <col min="25" max="25" width="9.44140625" style="19" bestFit="1" customWidth="1"/>
    <col min="26" max="26" width="9.33203125" style="19" bestFit="1" customWidth="1"/>
    <col min="27" max="27" width="9.44140625" style="19" bestFit="1" customWidth="1"/>
    <col min="28" max="28" width="2.44140625" style="19" customWidth="1"/>
    <col min="29" max="29" width="9.44140625" style="19" bestFit="1" customWidth="1"/>
    <col min="30" max="31" width="9.33203125" style="19" bestFit="1" customWidth="1"/>
    <col min="32" max="32" width="2.44140625" style="19" customWidth="1"/>
    <col min="33" max="33" width="9.44140625" style="19" bestFit="1" customWidth="1"/>
    <col min="34" max="34" width="9.33203125" style="19" bestFit="1" customWidth="1"/>
    <col min="35" max="35" width="9.44140625" style="19" bestFit="1" customWidth="1"/>
    <col min="36" max="36" width="2.44140625" style="19" customWidth="1"/>
    <col min="37" max="37" width="9.44140625" style="19" bestFit="1" customWidth="1"/>
    <col min="38" max="38" width="9.33203125" style="19" bestFit="1" customWidth="1"/>
    <col min="39" max="39" width="9.44140625" style="19" bestFit="1" customWidth="1"/>
    <col min="40" max="40" width="2.44140625" style="19" customWidth="1"/>
    <col min="41" max="42" width="9.33203125" style="19" bestFit="1" customWidth="1"/>
    <col min="43" max="43" width="9.44140625" style="22" bestFit="1" customWidth="1"/>
    <col min="44" max="44" width="2.44140625" style="19" customWidth="1"/>
    <col min="45" max="47" width="9.44140625" style="19" bestFit="1" customWidth="1"/>
    <col min="48" max="48" width="2.44140625" style="19" customWidth="1"/>
    <col min="49" max="50" width="9.33203125" style="19" bestFit="1" customWidth="1"/>
    <col min="51" max="51" width="9.44140625" style="19" bestFit="1" customWidth="1"/>
    <col min="52" max="52" width="9.109375" style="19" hidden="1" customWidth="1"/>
    <col min="53" max="55" width="9.33203125" style="19" bestFit="1" customWidth="1"/>
    <col min="56" max="56" width="2" style="19" customWidth="1"/>
    <col min="57" max="57" width="9.44140625" style="19" bestFit="1" customWidth="1"/>
    <col min="58" max="59" width="9.33203125" style="19" bestFit="1" customWidth="1"/>
    <col min="60" max="60" width="2" style="19" customWidth="1"/>
    <col min="61" max="61" width="9.44140625" style="19" bestFit="1" customWidth="1"/>
    <col min="62" max="62" width="9.33203125" style="19" bestFit="1" customWidth="1"/>
    <col min="63" max="63" width="9.109375" style="19" customWidth="1"/>
    <col min="64" max="64" width="1.6640625" style="19" customWidth="1"/>
    <col min="65" max="67" width="9.33203125" style="19" customWidth="1"/>
    <col min="68" max="68" width="2" style="19" customWidth="1"/>
    <col min="69" max="16384" width="9.109375" style="19"/>
  </cols>
  <sheetData>
    <row r="1" spans="1:71" s="9" customFormat="1" x14ac:dyDescent="0.25">
      <c r="B1" s="14"/>
      <c r="C1" s="14"/>
      <c r="D1" s="14"/>
      <c r="E1" s="14" t="s">
        <v>132</v>
      </c>
      <c r="F1" s="14"/>
      <c r="G1" s="14"/>
      <c r="H1" s="14"/>
      <c r="I1" s="14"/>
      <c r="Q1" s="14" t="str">
        <f>E1</f>
        <v>Willow Creek weir, cumulative weekly trapping totals, 2004-2020.</v>
      </c>
      <c r="AC1" s="14" t="str">
        <f>E1</f>
        <v>Willow Creek weir, cumulative weekly trapping totals, 2004-2020.</v>
      </c>
      <c r="AG1" s="19"/>
      <c r="AH1" s="19"/>
      <c r="AI1" s="19"/>
      <c r="AO1" s="14" t="str">
        <f>E1</f>
        <v>Willow Creek weir, cumulative weekly trapping totals, 2004-2020.</v>
      </c>
      <c r="AQ1" s="12"/>
      <c r="BA1" s="14" t="str">
        <f>E1</f>
        <v>Willow Creek weir, cumulative weekly trapping totals, 2004-2020.</v>
      </c>
      <c r="BC1" s="12"/>
    </row>
    <row r="2" spans="1:71" x14ac:dyDescent="0.25">
      <c r="A2" s="22" t="s">
        <v>20</v>
      </c>
      <c r="E2" s="43"/>
      <c r="F2" s="43">
        <v>2004</v>
      </c>
      <c r="G2" s="43"/>
      <c r="H2" s="22"/>
      <c r="I2" s="43"/>
      <c r="J2" s="43">
        <v>2005</v>
      </c>
      <c r="K2" s="43"/>
      <c r="L2" s="22"/>
      <c r="M2" s="43"/>
      <c r="N2" s="43">
        <v>2006</v>
      </c>
      <c r="O2" s="43"/>
      <c r="P2" s="22"/>
      <c r="Q2" s="43"/>
      <c r="R2" s="43">
        <v>2007</v>
      </c>
      <c r="S2" s="43"/>
      <c r="T2" s="22"/>
      <c r="U2" s="43"/>
      <c r="V2" s="43">
        <v>2008</v>
      </c>
      <c r="W2" s="43"/>
      <c r="X2" s="22"/>
      <c r="Y2" s="43"/>
      <c r="Z2" s="43">
        <v>2009</v>
      </c>
      <c r="AA2" s="43"/>
      <c r="AC2" s="43"/>
      <c r="AD2" s="43">
        <v>2010</v>
      </c>
      <c r="AE2" s="43"/>
      <c r="AF2" s="43"/>
      <c r="AG2" s="43"/>
      <c r="AH2" s="43">
        <v>2011</v>
      </c>
      <c r="AI2" s="43"/>
      <c r="AJ2" s="43"/>
      <c r="AK2" s="43"/>
      <c r="AL2" s="43">
        <v>2012</v>
      </c>
      <c r="AM2" s="43"/>
      <c r="AN2" s="43"/>
      <c r="AO2" s="43"/>
      <c r="AP2" s="43">
        <v>2013</v>
      </c>
      <c r="AQ2" s="43"/>
      <c r="AS2" s="43"/>
      <c r="AT2" s="43">
        <v>2014</v>
      </c>
      <c r="AU2" s="43"/>
      <c r="AV2" s="43"/>
      <c r="AW2" s="302">
        <v>2015</v>
      </c>
      <c r="AX2" s="302"/>
      <c r="AY2" s="302"/>
      <c r="AZ2" s="64"/>
      <c r="BA2" s="64"/>
      <c r="BB2" s="64">
        <v>2016</v>
      </c>
      <c r="BC2" s="64"/>
      <c r="BE2" s="64"/>
      <c r="BF2" s="64">
        <v>2017</v>
      </c>
      <c r="BG2" s="64"/>
      <c r="BH2" s="64"/>
      <c r="BI2" s="302">
        <v>2018</v>
      </c>
      <c r="BJ2" s="302"/>
      <c r="BK2" s="302"/>
      <c r="BL2" s="204"/>
      <c r="BM2" s="283">
        <v>2019</v>
      </c>
      <c r="BN2" s="283"/>
      <c r="BO2" s="283"/>
      <c r="BQ2" s="283">
        <v>2020</v>
      </c>
      <c r="BR2" s="283"/>
      <c r="BS2" s="283"/>
    </row>
    <row r="3" spans="1:71" x14ac:dyDescent="0.25">
      <c r="A3" s="43" t="s">
        <v>27</v>
      </c>
      <c r="B3" s="44" t="s">
        <v>28</v>
      </c>
      <c r="C3" s="44"/>
      <c r="D3" s="44"/>
      <c r="E3" s="43" t="s">
        <v>17</v>
      </c>
      <c r="F3" s="43" t="s">
        <v>18</v>
      </c>
      <c r="G3" s="43" t="s">
        <v>19</v>
      </c>
      <c r="H3" s="43"/>
      <c r="I3" s="43" t="s">
        <v>17</v>
      </c>
      <c r="J3" s="43" t="s">
        <v>18</v>
      </c>
      <c r="K3" s="43" t="s">
        <v>19</v>
      </c>
      <c r="L3" s="43"/>
      <c r="M3" s="43" t="s">
        <v>17</v>
      </c>
      <c r="N3" s="43" t="s">
        <v>18</v>
      </c>
      <c r="O3" s="43" t="s">
        <v>19</v>
      </c>
      <c r="P3" s="43"/>
      <c r="Q3" s="43" t="s">
        <v>17</v>
      </c>
      <c r="R3" s="43" t="s">
        <v>18</v>
      </c>
      <c r="S3" s="43" t="s">
        <v>19</v>
      </c>
      <c r="T3" s="43"/>
      <c r="U3" s="43" t="s">
        <v>17</v>
      </c>
      <c r="V3" s="43" t="s">
        <v>18</v>
      </c>
      <c r="W3" s="43" t="s">
        <v>19</v>
      </c>
      <c r="X3" s="43"/>
      <c r="Y3" s="43" t="s">
        <v>17</v>
      </c>
      <c r="Z3" s="43" t="s">
        <v>18</v>
      </c>
      <c r="AA3" s="43" t="s">
        <v>19</v>
      </c>
      <c r="AB3" s="47"/>
      <c r="AC3" s="43" t="s">
        <v>17</v>
      </c>
      <c r="AD3" s="43" t="s">
        <v>18</v>
      </c>
      <c r="AE3" s="43" t="s">
        <v>19</v>
      </c>
      <c r="AF3" s="43"/>
      <c r="AG3" s="43" t="s">
        <v>17</v>
      </c>
      <c r="AH3" s="43" t="s">
        <v>18</v>
      </c>
      <c r="AI3" s="43" t="s">
        <v>19</v>
      </c>
      <c r="AJ3" s="43"/>
      <c r="AK3" s="43" t="s">
        <v>17</v>
      </c>
      <c r="AL3" s="43" t="s">
        <v>18</v>
      </c>
      <c r="AM3" s="43" t="s">
        <v>19</v>
      </c>
      <c r="AN3" s="43"/>
      <c r="AO3" s="43" t="s">
        <v>17</v>
      </c>
      <c r="AP3" s="43" t="s">
        <v>18</v>
      </c>
      <c r="AQ3" s="43" t="s">
        <v>19</v>
      </c>
      <c r="AR3" s="43"/>
      <c r="AS3" s="43" t="s">
        <v>17</v>
      </c>
      <c r="AT3" s="43" t="s">
        <v>18</v>
      </c>
      <c r="AU3" s="43" t="s">
        <v>19</v>
      </c>
      <c r="AV3" s="43"/>
      <c r="AW3" s="43" t="s">
        <v>17</v>
      </c>
      <c r="AX3" s="43" t="s">
        <v>18</v>
      </c>
      <c r="AY3" s="43" t="s">
        <v>19</v>
      </c>
      <c r="AZ3" s="64"/>
      <c r="BA3" s="64" t="s">
        <v>17</v>
      </c>
      <c r="BB3" s="64" t="s">
        <v>18</v>
      </c>
      <c r="BC3" s="64" t="s">
        <v>19</v>
      </c>
      <c r="BD3" s="64"/>
      <c r="BE3" s="64" t="s">
        <v>17</v>
      </c>
      <c r="BF3" s="64" t="s">
        <v>18</v>
      </c>
      <c r="BG3" s="64" t="s">
        <v>19</v>
      </c>
      <c r="BH3" s="64"/>
      <c r="BI3" s="64" t="s">
        <v>17</v>
      </c>
      <c r="BJ3" s="64" t="s">
        <v>18</v>
      </c>
      <c r="BK3" s="64" t="s">
        <v>19</v>
      </c>
      <c r="BL3" s="205"/>
      <c r="BM3" s="207" t="s">
        <v>17</v>
      </c>
      <c r="BN3" s="207" t="s">
        <v>18</v>
      </c>
      <c r="BO3" s="207" t="s">
        <v>19</v>
      </c>
      <c r="BQ3" s="207" t="s">
        <v>17</v>
      </c>
      <c r="BR3" s="207" t="s">
        <v>18</v>
      </c>
      <c r="BS3" s="207" t="s">
        <v>19</v>
      </c>
    </row>
    <row r="4" spans="1:71" x14ac:dyDescent="0.25">
      <c r="A4" s="22">
        <v>34</v>
      </c>
      <c r="B4" s="48">
        <v>40410</v>
      </c>
      <c r="C4" s="57" t="s">
        <v>70</v>
      </c>
      <c r="D4" s="48">
        <v>40416</v>
      </c>
      <c r="E4" s="208"/>
      <c r="F4" s="208"/>
      <c r="G4" s="208"/>
      <c r="H4" s="208"/>
      <c r="I4" s="208">
        <v>108</v>
      </c>
      <c r="J4" s="208">
        <v>0</v>
      </c>
      <c r="K4" s="208">
        <v>244</v>
      </c>
      <c r="L4" s="208"/>
      <c r="M4" s="208">
        <v>170</v>
      </c>
      <c r="N4" s="208">
        <v>0</v>
      </c>
      <c r="O4" s="208">
        <v>206</v>
      </c>
      <c r="P4" s="208"/>
      <c r="Q4" s="209">
        <v>96</v>
      </c>
      <c r="R4" s="208">
        <v>0</v>
      </c>
      <c r="S4" s="208">
        <v>420</v>
      </c>
      <c r="T4" s="208"/>
      <c r="U4" s="209">
        <v>201</v>
      </c>
      <c r="V4" s="208">
        <v>1</v>
      </c>
      <c r="W4" s="208">
        <v>119</v>
      </c>
      <c r="X4" s="208"/>
      <c r="Y4" s="208"/>
      <c r="Z4" s="208"/>
      <c r="AA4" s="208"/>
      <c r="AB4" s="208"/>
      <c r="AC4" s="208">
        <v>188</v>
      </c>
      <c r="AD4" s="208">
        <v>0</v>
      </c>
      <c r="AE4" s="208">
        <v>72</v>
      </c>
      <c r="AF4" s="208"/>
      <c r="AG4" s="208"/>
      <c r="AH4" s="208"/>
      <c r="AI4" s="208"/>
      <c r="AJ4" s="208"/>
      <c r="AK4" s="209">
        <v>108</v>
      </c>
      <c r="AL4" s="208">
        <v>0</v>
      </c>
      <c r="AM4" s="208">
        <v>109</v>
      </c>
      <c r="AN4" s="208"/>
      <c r="AO4" s="208"/>
      <c r="AP4" s="208"/>
      <c r="AQ4" s="208"/>
      <c r="AR4" s="208"/>
      <c r="AS4" s="210"/>
      <c r="AT4" s="210"/>
      <c r="AU4" s="210"/>
      <c r="AV4" s="210"/>
      <c r="AW4" s="210"/>
      <c r="AX4" s="210"/>
      <c r="AY4" s="210"/>
      <c r="AZ4" s="210"/>
      <c r="BA4" s="209">
        <v>6</v>
      </c>
      <c r="BB4" s="208"/>
      <c r="BC4" s="208">
        <v>9</v>
      </c>
      <c r="BD4" s="208"/>
      <c r="BE4" s="210"/>
      <c r="BF4" s="210"/>
      <c r="BG4" s="211"/>
      <c r="BH4" s="210"/>
      <c r="BI4" s="210"/>
      <c r="BJ4" s="210"/>
      <c r="BK4" s="210"/>
      <c r="BL4" s="210"/>
      <c r="BM4" s="208"/>
      <c r="BN4" s="208"/>
      <c r="BO4" s="208"/>
      <c r="BQ4" s="208"/>
      <c r="BR4" s="208"/>
      <c r="BS4" s="208"/>
    </row>
    <row r="5" spans="1:71" x14ac:dyDescent="0.25">
      <c r="A5" s="22">
        <f t="shared" ref="A5:A20" si="0">A4+1</f>
        <v>35</v>
      </c>
      <c r="B5" s="48">
        <f t="shared" ref="B5:B20" si="1">B4+7</f>
        <v>40417</v>
      </c>
      <c r="C5" s="57" t="s">
        <v>70</v>
      </c>
      <c r="D5" s="48">
        <f t="shared" ref="D5:D20" si="2">D4+7</f>
        <v>40423</v>
      </c>
      <c r="E5" s="208"/>
      <c r="F5" s="208"/>
      <c r="G5" s="208"/>
      <c r="H5" s="208"/>
      <c r="I5" s="208">
        <v>153</v>
      </c>
      <c r="J5" s="208">
        <v>0</v>
      </c>
      <c r="K5" s="208">
        <v>337</v>
      </c>
      <c r="L5" s="208"/>
      <c r="M5" s="208">
        <v>272</v>
      </c>
      <c r="N5" s="208">
        <v>0</v>
      </c>
      <c r="O5" s="208">
        <v>353</v>
      </c>
      <c r="P5" s="208"/>
      <c r="Q5" s="209">
        <v>135</v>
      </c>
      <c r="R5" s="208">
        <v>0</v>
      </c>
      <c r="S5" s="208">
        <v>953</v>
      </c>
      <c r="T5" s="208"/>
      <c r="U5" s="209">
        <v>397</v>
      </c>
      <c r="V5" s="208">
        <v>3</v>
      </c>
      <c r="W5" s="208">
        <v>184</v>
      </c>
      <c r="X5" s="208"/>
      <c r="Y5" s="208">
        <v>94</v>
      </c>
      <c r="Z5" s="208">
        <v>0</v>
      </c>
      <c r="AA5" s="208">
        <v>33</v>
      </c>
      <c r="AB5" s="208"/>
      <c r="AC5" s="208">
        <v>330</v>
      </c>
      <c r="AD5" s="208">
        <v>0</v>
      </c>
      <c r="AE5" s="208">
        <v>136</v>
      </c>
      <c r="AF5" s="208"/>
      <c r="AG5" s="208"/>
      <c r="AH5" s="208"/>
      <c r="AI5" s="208"/>
      <c r="AJ5" s="208"/>
      <c r="AK5" s="208">
        <f>269+AK4</f>
        <v>377</v>
      </c>
      <c r="AL5" s="208">
        <v>0</v>
      </c>
      <c r="AM5" s="208">
        <v>222</v>
      </c>
      <c r="AN5" s="208"/>
      <c r="AO5" s="216">
        <v>42</v>
      </c>
      <c r="AP5" s="208">
        <v>1</v>
      </c>
      <c r="AQ5" s="208">
        <v>230</v>
      </c>
      <c r="AR5" s="208"/>
      <c r="AS5" s="208"/>
      <c r="AT5" s="208"/>
      <c r="AU5" s="208"/>
      <c r="AV5" s="208"/>
      <c r="AW5" s="209">
        <v>24</v>
      </c>
      <c r="AX5" s="208">
        <v>0</v>
      </c>
      <c r="AY5" s="208">
        <v>55</v>
      </c>
      <c r="AZ5" s="208"/>
      <c r="BA5" s="212">
        <v>63</v>
      </c>
      <c r="BB5" s="208"/>
      <c r="BC5" s="208">
        <v>134</v>
      </c>
      <c r="BD5" s="208"/>
      <c r="BE5" s="208">
        <v>7</v>
      </c>
      <c r="BF5" s="208">
        <v>0</v>
      </c>
      <c r="BG5" s="210">
        <v>44</v>
      </c>
      <c r="BH5" s="208"/>
      <c r="BI5" s="208">
        <v>48</v>
      </c>
      <c r="BJ5" s="208"/>
      <c r="BK5" s="208">
        <v>37</v>
      </c>
      <c r="BL5" s="208"/>
      <c r="BM5" s="208"/>
      <c r="BN5" s="208"/>
      <c r="BO5" s="208"/>
      <c r="BQ5" s="208"/>
      <c r="BR5" s="208"/>
      <c r="BS5" s="208"/>
    </row>
    <row r="6" spans="1:71" x14ac:dyDescent="0.25">
      <c r="A6" s="22">
        <f t="shared" si="0"/>
        <v>36</v>
      </c>
      <c r="B6" s="48">
        <f t="shared" si="1"/>
        <v>40424</v>
      </c>
      <c r="C6" s="57" t="s">
        <v>70</v>
      </c>
      <c r="D6" s="48">
        <f t="shared" si="2"/>
        <v>40430</v>
      </c>
      <c r="E6" s="208"/>
      <c r="F6" s="208"/>
      <c r="G6" s="208"/>
      <c r="H6" s="208"/>
      <c r="I6" s="208">
        <v>316</v>
      </c>
      <c r="J6" s="208">
        <v>2</v>
      </c>
      <c r="K6" s="208">
        <v>481</v>
      </c>
      <c r="L6" s="208"/>
      <c r="M6" s="208">
        <v>452</v>
      </c>
      <c r="N6" s="208">
        <v>4</v>
      </c>
      <c r="O6" s="208">
        <v>518</v>
      </c>
      <c r="P6" s="208"/>
      <c r="Q6" s="209">
        <v>261</v>
      </c>
      <c r="R6" s="208">
        <v>0</v>
      </c>
      <c r="S6" s="208">
        <v>1220</v>
      </c>
      <c r="T6" s="208"/>
      <c r="U6" s="208">
        <v>687</v>
      </c>
      <c r="V6" s="208">
        <v>3</v>
      </c>
      <c r="W6" s="208">
        <v>225</v>
      </c>
      <c r="X6" s="208"/>
      <c r="Y6" s="208">
        <v>264</v>
      </c>
      <c r="Z6" s="208">
        <v>0</v>
      </c>
      <c r="AA6" s="208">
        <v>68</v>
      </c>
      <c r="AB6" s="208"/>
      <c r="AC6" s="208">
        <v>475</v>
      </c>
      <c r="AD6" s="208">
        <v>2</v>
      </c>
      <c r="AE6" s="208">
        <v>212</v>
      </c>
      <c r="AF6" s="208"/>
      <c r="AG6" s="208">
        <v>134</v>
      </c>
      <c r="AH6" s="208">
        <v>2</v>
      </c>
      <c r="AI6" s="208">
        <v>102</v>
      </c>
      <c r="AJ6" s="208"/>
      <c r="AK6" s="208">
        <v>681</v>
      </c>
      <c r="AL6" s="208">
        <v>1</v>
      </c>
      <c r="AM6" s="208">
        <v>293</v>
      </c>
      <c r="AN6" s="208"/>
      <c r="AO6" s="216">
        <v>131</v>
      </c>
      <c r="AP6" s="208">
        <v>1</v>
      </c>
      <c r="AQ6" s="208">
        <v>377</v>
      </c>
      <c r="AR6" s="208"/>
      <c r="AS6" s="208">
        <v>75</v>
      </c>
      <c r="AT6" s="208">
        <v>0</v>
      </c>
      <c r="AU6" s="208">
        <v>70</v>
      </c>
      <c r="AV6" s="208"/>
      <c r="AW6" s="208">
        <v>49</v>
      </c>
      <c r="AX6" s="208">
        <v>1</v>
      </c>
      <c r="AY6" s="208">
        <v>76</v>
      </c>
      <c r="AZ6" s="208"/>
      <c r="BA6" s="212">
        <v>135</v>
      </c>
      <c r="BB6" s="208"/>
      <c r="BC6" s="208">
        <v>184</v>
      </c>
      <c r="BD6" s="208"/>
      <c r="BE6" s="208">
        <v>141</v>
      </c>
      <c r="BF6" s="208">
        <v>0</v>
      </c>
      <c r="BG6" s="208">
        <v>91</v>
      </c>
      <c r="BH6" s="208"/>
      <c r="BI6" s="208">
        <v>116</v>
      </c>
      <c r="BJ6" s="208"/>
      <c r="BK6" s="208">
        <v>86</v>
      </c>
      <c r="BL6" s="208"/>
      <c r="BM6" s="208"/>
      <c r="BN6" s="208"/>
      <c r="BO6" s="208"/>
      <c r="BQ6" s="208"/>
      <c r="BR6" s="208"/>
      <c r="BS6" s="208"/>
    </row>
    <row r="7" spans="1:71" x14ac:dyDescent="0.25">
      <c r="A7" s="22">
        <f t="shared" si="0"/>
        <v>37</v>
      </c>
      <c r="B7" s="48">
        <f t="shared" si="1"/>
        <v>40431</v>
      </c>
      <c r="C7" s="57" t="s">
        <v>70</v>
      </c>
      <c r="D7" s="48">
        <f t="shared" si="2"/>
        <v>40437</v>
      </c>
      <c r="E7" s="208">
        <v>274</v>
      </c>
      <c r="F7" s="208">
        <v>9</v>
      </c>
      <c r="G7" s="208">
        <v>31</v>
      </c>
      <c r="H7" s="208"/>
      <c r="I7" s="208">
        <v>676</v>
      </c>
      <c r="J7" s="208">
        <v>4</v>
      </c>
      <c r="K7" s="208">
        <v>584</v>
      </c>
      <c r="L7" s="208"/>
      <c r="M7" s="208">
        <v>565</v>
      </c>
      <c r="N7" s="208">
        <v>12</v>
      </c>
      <c r="O7" s="208">
        <v>658</v>
      </c>
      <c r="P7" s="208"/>
      <c r="Q7" s="208">
        <v>368</v>
      </c>
      <c r="R7" s="208">
        <v>0</v>
      </c>
      <c r="S7" s="208">
        <v>1345</v>
      </c>
      <c r="T7" s="208"/>
      <c r="U7" s="208">
        <v>1139</v>
      </c>
      <c r="V7" s="208">
        <v>4</v>
      </c>
      <c r="W7" s="208">
        <v>262</v>
      </c>
      <c r="X7" s="208"/>
      <c r="Y7" s="208">
        <v>521</v>
      </c>
      <c r="Z7" s="208">
        <v>10</v>
      </c>
      <c r="AA7" s="208">
        <v>221</v>
      </c>
      <c r="AB7" s="208"/>
      <c r="AC7" s="208">
        <v>599</v>
      </c>
      <c r="AD7" s="208">
        <v>7</v>
      </c>
      <c r="AE7" s="208">
        <v>239</v>
      </c>
      <c r="AF7" s="208"/>
      <c r="AG7" s="208">
        <v>646</v>
      </c>
      <c r="AH7" s="208">
        <v>5</v>
      </c>
      <c r="AI7" s="208">
        <v>333</v>
      </c>
      <c r="AJ7" s="208"/>
      <c r="AK7" s="208">
        <f>282+AK6</f>
        <v>963</v>
      </c>
      <c r="AL7" s="208">
        <v>1</v>
      </c>
      <c r="AM7" s="208">
        <v>450</v>
      </c>
      <c r="AN7" s="208"/>
      <c r="AO7" s="216">
        <v>247</v>
      </c>
      <c r="AP7" s="208">
        <f>5+AP6</f>
        <v>6</v>
      </c>
      <c r="AQ7" s="208">
        <v>595</v>
      </c>
      <c r="AR7" s="208"/>
      <c r="AS7" s="208">
        <v>311</v>
      </c>
      <c r="AT7" s="208">
        <v>38</v>
      </c>
      <c r="AU7" s="208">
        <f>AU6+161</f>
        <v>231</v>
      </c>
      <c r="AV7" s="208"/>
      <c r="AW7" s="208">
        <v>52</v>
      </c>
      <c r="AX7" s="208">
        <v>1</v>
      </c>
      <c r="AY7" s="208">
        <v>109</v>
      </c>
      <c r="AZ7" s="208"/>
      <c r="BA7" s="211">
        <v>220</v>
      </c>
      <c r="BB7" s="208">
        <v>1</v>
      </c>
      <c r="BC7" s="208">
        <v>284</v>
      </c>
      <c r="BD7" s="208"/>
      <c r="BE7" s="208">
        <v>318</v>
      </c>
      <c r="BF7" s="208">
        <v>0</v>
      </c>
      <c r="BG7" s="208">
        <v>211</v>
      </c>
      <c r="BH7" s="208"/>
      <c r="BI7" s="208">
        <v>169</v>
      </c>
      <c r="BJ7" s="208"/>
      <c r="BK7" s="208">
        <v>101</v>
      </c>
      <c r="BL7" s="208"/>
      <c r="BM7" s="208">
        <v>401</v>
      </c>
      <c r="BN7" s="208">
        <v>2</v>
      </c>
      <c r="BO7" s="208">
        <v>138</v>
      </c>
      <c r="BP7" s="217"/>
      <c r="BQ7" s="247">
        <v>0</v>
      </c>
      <c r="BR7" s="208">
        <v>0</v>
      </c>
      <c r="BS7" s="208">
        <v>13</v>
      </c>
    </row>
    <row r="8" spans="1:71" x14ac:dyDescent="0.25">
      <c r="A8" s="22">
        <f t="shared" si="0"/>
        <v>38</v>
      </c>
      <c r="B8" s="48">
        <f t="shared" si="1"/>
        <v>40438</v>
      </c>
      <c r="C8" s="57" t="s">
        <v>70</v>
      </c>
      <c r="D8" s="48">
        <f t="shared" si="2"/>
        <v>40444</v>
      </c>
      <c r="E8" s="208">
        <v>686</v>
      </c>
      <c r="F8" s="208">
        <v>36</v>
      </c>
      <c r="G8" s="208">
        <v>132</v>
      </c>
      <c r="H8" s="208"/>
      <c r="I8" s="208">
        <v>1054</v>
      </c>
      <c r="J8" s="208">
        <v>36</v>
      </c>
      <c r="K8" s="208">
        <v>834</v>
      </c>
      <c r="L8" s="208"/>
      <c r="M8" s="208">
        <v>677</v>
      </c>
      <c r="N8" s="208">
        <v>44</v>
      </c>
      <c r="O8" s="208">
        <v>771</v>
      </c>
      <c r="P8" s="208"/>
      <c r="Q8" s="208">
        <v>547</v>
      </c>
      <c r="R8" s="208">
        <v>0</v>
      </c>
      <c r="S8" s="208">
        <v>1438</v>
      </c>
      <c r="T8" s="208"/>
      <c r="U8" s="208">
        <v>1387</v>
      </c>
      <c r="V8" s="208">
        <v>17</v>
      </c>
      <c r="W8" s="208">
        <v>307</v>
      </c>
      <c r="X8" s="208"/>
      <c r="Y8" s="208">
        <v>830</v>
      </c>
      <c r="Z8" s="208">
        <v>35</v>
      </c>
      <c r="AA8" s="208">
        <v>535</v>
      </c>
      <c r="AB8" s="208"/>
      <c r="AC8" s="208">
        <v>733</v>
      </c>
      <c r="AD8" s="208">
        <v>27</v>
      </c>
      <c r="AE8" s="208">
        <v>519</v>
      </c>
      <c r="AF8" s="208"/>
      <c r="AG8" s="208">
        <v>1109</v>
      </c>
      <c r="AH8" s="208">
        <v>24</v>
      </c>
      <c r="AI8" s="208">
        <v>477</v>
      </c>
      <c r="AJ8" s="208"/>
      <c r="AK8" s="208">
        <f>351+AK7</f>
        <v>1314</v>
      </c>
      <c r="AL8" s="208">
        <v>12</v>
      </c>
      <c r="AM8" s="208">
        <v>719</v>
      </c>
      <c r="AN8" s="208"/>
      <c r="AO8" s="216">
        <v>296</v>
      </c>
      <c r="AP8" s="208">
        <v>7</v>
      </c>
      <c r="AQ8" s="208">
        <v>743</v>
      </c>
      <c r="AR8" s="208"/>
      <c r="AS8" s="208">
        <v>346</v>
      </c>
      <c r="AT8" s="208">
        <v>42</v>
      </c>
      <c r="AU8" s="208">
        <f>AU7+56</f>
        <v>287</v>
      </c>
      <c r="AV8" s="208"/>
      <c r="AW8" s="208">
        <v>150</v>
      </c>
      <c r="AX8" s="208">
        <v>12</v>
      </c>
      <c r="AY8" s="208">
        <v>227</v>
      </c>
      <c r="AZ8" s="208"/>
      <c r="BA8" s="211">
        <v>308</v>
      </c>
      <c r="BB8" s="208">
        <v>1</v>
      </c>
      <c r="BC8" s="208">
        <v>383</v>
      </c>
      <c r="BD8" s="208"/>
      <c r="BE8" s="208">
        <v>652</v>
      </c>
      <c r="BF8" s="208">
        <v>0</v>
      </c>
      <c r="BG8" s="208">
        <v>263</v>
      </c>
      <c r="BH8" s="208"/>
      <c r="BI8" s="208">
        <v>339</v>
      </c>
      <c r="BJ8" s="208"/>
      <c r="BK8" s="208">
        <v>128</v>
      </c>
      <c r="BL8" s="208"/>
      <c r="BM8" s="208">
        <v>593</v>
      </c>
      <c r="BN8" s="208">
        <v>3</v>
      </c>
      <c r="BO8" s="208">
        <v>281</v>
      </c>
      <c r="BP8" s="217"/>
      <c r="BQ8" s="208">
        <v>5</v>
      </c>
      <c r="BR8" s="208">
        <v>1</v>
      </c>
      <c r="BS8" s="208">
        <v>28</v>
      </c>
    </row>
    <row r="9" spans="1:71" x14ac:dyDescent="0.25">
      <c r="A9" s="22">
        <f t="shared" si="0"/>
        <v>39</v>
      </c>
      <c r="B9" s="48">
        <f t="shared" si="1"/>
        <v>40445</v>
      </c>
      <c r="C9" s="57" t="s">
        <v>70</v>
      </c>
      <c r="D9" s="48">
        <f t="shared" si="2"/>
        <v>40451</v>
      </c>
      <c r="E9" s="208">
        <v>1304</v>
      </c>
      <c r="F9" s="208">
        <v>145</v>
      </c>
      <c r="G9" s="208">
        <v>503</v>
      </c>
      <c r="H9" s="208"/>
      <c r="I9" s="208">
        <v>1162</v>
      </c>
      <c r="J9" s="208">
        <v>133</v>
      </c>
      <c r="K9" s="208">
        <v>1028</v>
      </c>
      <c r="L9" s="208"/>
      <c r="M9" s="208">
        <v>826</v>
      </c>
      <c r="N9" s="208">
        <v>66</v>
      </c>
      <c r="O9" s="208">
        <v>1073</v>
      </c>
      <c r="P9" s="208"/>
      <c r="Q9" s="208">
        <v>762</v>
      </c>
      <c r="R9" s="208">
        <v>2</v>
      </c>
      <c r="S9" s="208">
        <v>1627</v>
      </c>
      <c r="T9" s="208"/>
      <c r="U9" s="208">
        <v>1676</v>
      </c>
      <c r="V9" s="208">
        <v>71</v>
      </c>
      <c r="W9" s="208">
        <v>416</v>
      </c>
      <c r="X9" s="208"/>
      <c r="Y9" s="208">
        <v>1021</v>
      </c>
      <c r="Z9" s="208">
        <v>109</v>
      </c>
      <c r="AA9" s="208">
        <v>870</v>
      </c>
      <c r="AB9" s="208"/>
      <c r="AC9" s="208">
        <v>921</v>
      </c>
      <c r="AD9" s="208">
        <v>300</v>
      </c>
      <c r="AE9" s="208">
        <v>649</v>
      </c>
      <c r="AF9" s="208"/>
      <c r="AG9" s="208">
        <v>1339</v>
      </c>
      <c r="AH9" s="208">
        <v>89</v>
      </c>
      <c r="AI9" s="208">
        <v>770</v>
      </c>
      <c r="AJ9" s="208"/>
      <c r="AK9" s="208">
        <f>401+AK8</f>
        <v>1715</v>
      </c>
      <c r="AL9" s="208">
        <f>157+AL8</f>
        <v>169</v>
      </c>
      <c r="AM9" s="208">
        <v>1316</v>
      </c>
      <c r="AN9" s="208"/>
      <c r="AO9" s="216">
        <v>335</v>
      </c>
      <c r="AP9" s="208">
        <v>29</v>
      </c>
      <c r="AQ9" s="208">
        <v>1024</v>
      </c>
      <c r="AR9" s="208"/>
      <c r="AS9" s="208">
        <v>419</v>
      </c>
      <c r="AT9" s="208">
        <v>333</v>
      </c>
      <c r="AU9" s="208">
        <f>AU8+229</f>
        <v>516</v>
      </c>
      <c r="AV9" s="208"/>
      <c r="AW9" s="208">
        <v>300</v>
      </c>
      <c r="AX9" s="208">
        <v>38</v>
      </c>
      <c r="AY9" s="208">
        <v>335</v>
      </c>
      <c r="AZ9" s="208"/>
      <c r="BA9" s="211">
        <v>428</v>
      </c>
      <c r="BB9" s="208">
        <v>1</v>
      </c>
      <c r="BC9" s="208">
        <v>478</v>
      </c>
      <c r="BD9" s="208"/>
      <c r="BE9" s="208">
        <v>1284</v>
      </c>
      <c r="BF9" s="208">
        <v>4</v>
      </c>
      <c r="BG9" s="208">
        <v>369</v>
      </c>
      <c r="BH9" s="208"/>
      <c r="BI9" s="208">
        <v>855</v>
      </c>
      <c r="BJ9" s="208">
        <v>2</v>
      </c>
      <c r="BK9" s="208">
        <v>214</v>
      </c>
      <c r="BL9" s="208"/>
      <c r="BM9" s="208">
        <v>824</v>
      </c>
      <c r="BN9" s="208">
        <v>18</v>
      </c>
      <c r="BO9" s="208">
        <v>375</v>
      </c>
      <c r="BP9" s="217"/>
      <c r="BQ9" s="208">
        <v>56</v>
      </c>
      <c r="BR9" s="208">
        <v>12</v>
      </c>
      <c r="BS9" s="208">
        <v>77</v>
      </c>
    </row>
    <row r="10" spans="1:71" x14ac:dyDescent="0.25">
      <c r="A10" s="22">
        <f t="shared" si="0"/>
        <v>40</v>
      </c>
      <c r="B10" s="48">
        <f t="shared" si="1"/>
        <v>40452</v>
      </c>
      <c r="C10" s="57" t="s">
        <v>70</v>
      </c>
      <c r="D10" s="48">
        <f t="shared" si="2"/>
        <v>40458</v>
      </c>
      <c r="E10" s="208">
        <v>1642</v>
      </c>
      <c r="F10" s="208">
        <v>472</v>
      </c>
      <c r="G10" s="208">
        <v>962</v>
      </c>
      <c r="H10" s="208"/>
      <c r="I10" s="208">
        <v>1254</v>
      </c>
      <c r="J10" s="208">
        <v>245</v>
      </c>
      <c r="K10" s="208">
        <v>1406</v>
      </c>
      <c r="L10" s="208"/>
      <c r="M10" s="208">
        <v>973</v>
      </c>
      <c r="N10" s="208">
        <v>115</v>
      </c>
      <c r="O10" s="208">
        <v>1950</v>
      </c>
      <c r="P10" s="208"/>
      <c r="Q10" s="208">
        <v>835</v>
      </c>
      <c r="R10" s="208">
        <v>26</v>
      </c>
      <c r="S10" s="208">
        <v>2781</v>
      </c>
      <c r="T10" s="208"/>
      <c r="U10" s="208">
        <v>1792</v>
      </c>
      <c r="V10" s="208">
        <v>188</v>
      </c>
      <c r="W10" s="208">
        <v>710</v>
      </c>
      <c r="X10" s="208"/>
      <c r="Y10" s="208">
        <v>1046</v>
      </c>
      <c r="Z10" s="208">
        <v>118</v>
      </c>
      <c r="AA10" s="208">
        <v>893</v>
      </c>
      <c r="AB10" s="208"/>
      <c r="AC10" s="208">
        <v>1118</v>
      </c>
      <c r="AD10" s="208">
        <v>628</v>
      </c>
      <c r="AE10" s="208">
        <v>718</v>
      </c>
      <c r="AF10" s="208"/>
      <c r="AG10" s="208">
        <v>1397</v>
      </c>
      <c r="AH10" s="208">
        <v>144</v>
      </c>
      <c r="AI10" s="208">
        <v>1249</v>
      </c>
      <c r="AJ10" s="208"/>
      <c r="AK10" s="208">
        <f>441+AK9</f>
        <v>2156</v>
      </c>
      <c r="AL10" s="208">
        <f>231+AL9</f>
        <v>400</v>
      </c>
      <c r="AM10" s="208">
        <v>2076</v>
      </c>
      <c r="AN10" s="208"/>
      <c r="AO10" s="216">
        <v>361</v>
      </c>
      <c r="AP10" s="208">
        <f>63+AP9</f>
        <v>92</v>
      </c>
      <c r="AQ10" s="208">
        <v>1320</v>
      </c>
      <c r="AR10" s="208"/>
      <c r="AS10" s="208">
        <v>697</v>
      </c>
      <c r="AT10" s="208">
        <v>674</v>
      </c>
      <c r="AU10" s="208">
        <f>AU9+122</f>
        <v>638</v>
      </c>
      <c r="AV10" s="208"/>
      <c r="AW10" s="208">
        <v>414</v>
      </c>
      <c r="AX10" s="208">
        <v>87</v>
      </c>
      <c r="AY10" s="208">
        <v>445</v>
      </c>
      <c r="AZ10" s="208"/>
      <c r="BA10" s="211">
        <v>449</v>
      </c>
      <c r="BB10" s="208">
        <v>1</v>
      </c>
      <c r="BC10" s="208">
        <v>526</v>
      </c>
      <c r="BD10" s="208"/>
      <c r="BE10" s="208">
        <v>1556</v>
      </c>
      <c r="BF10" s="208">
        <v>11</v>
      </c>
      <c r="BG10" s="208">
        <v>419</v>
      </c>
      <c r="BH10" s="208"/>
      <c r="BI10" s="208">
        <v>1065</v>
      </c>
      <c r="BJ10" s="208">
        <v>7</v>
      </c>
      <c r="BK10" s="208">
        <v>388</v>
      </c>
      <c r="BL10" s="208"/>
      <c r="BM10" s="208">
        <v>1079</v>
      </c>
      <c r="BN10" s="208">
        <v>27</v>
      </c>
      <c r="BO10" s="208">
        <v>407</v>
      </c>
      <c r="BP10" s="217"/>
      <c r="BQ10" s="208">
        <v>69</v>
      </c>
      <c r="BR10" s="208">
        <v>15</v>
      </c>
      <c r="BS10" s="208">
        <v>85</v>
      </c>
    </row>
    <row r="11" spans="1:71" x14ac:dyDescent="0.25">
      <c r="A11" s="22">
        <f t="shared" si="0"/>
        <v>41</v>
      </c>
      <c r="B11" s="48">
        <f t="shared" si="1"/>
        <v>40459</v>
      </c>
      <c r="C11" s="57" t="s">
        <v>70</v>
      </c>
      <c r="D11" s="48">
        <f t="shared" si="2"/>
        <v>40465</v>
      </c>
      <c r="E11" s="208">
        <v>1906</v>
      </c>
      <c r="F11" s="208">
        <v>897</v>
      </c>
      <c r="G11" s="208">
        <v>1560</v>
      </c>
      <c r="H11" s="208"/>
      <c r="I11" s="208">
        <v>1342</v>
      </c>
      <c r="J11" s="208">
        <v>514</v>
      </c>
      <c r="K11" s="208">
        <v>1808</v>
      </c>
      <c r="L11" s="208"/>
      <c r="M11" s="208">
        <v>1061</v>
      </c>
      <c r="N11" s="208">
        <v>182</v>
      </c>
      <c r="O11" s="208">
        <v>2471</v>
      </c>
      <c r="P11" s="208"/>
      <c r="Q11" s="208">
        <v>974</v>
      </c>
      <c r="R11" s="208">
        <v>51</v>
      </c>
      <c r="S11" s="208">
        <v>4108</v>
      </c>
      <c r="T11" s="208"/>
      <c r="U11" s="208">
        <v>1856</v>
      </c>
      <c r="V11" s="208">
        <v>335</v>
      </c>
      <c r="W11" s="208">
        <v>849</v>
      </c>
      <c r="X11" s="208"/>
      <c r="Y11" s="208">
        <v>1082</v>
      </c>
      <c r="Z11" s="208">
        <v>138</v>
      </c>
      <c r="AA11" s="208">
        <v>1118</v>
      </c>
      <c r="AB11" s="208"/>
      <c r="AC11" s="208">
        <v>1181</v>
      </c>
      <c r="AD11" s="208">
        <v>898</v>
      </c>
      <c r="AE11" s="208">
        <v>816</v>
      </c>
      <c r="AF11" s="208"/>
      <c r="AG11" s="208">
        <v>1405</v>
      </c>
      <c r="AH11" s="208">
        <v>183</v>
      </c>
      <c r="AI11" s="208">
        <v>1398</v>
      </c>
      <c r="AJ11" s="208"/>
      <c r="AK11" s="208">
        <f>103+AK10</f>
        <v>2259</v>
      </c>
      <c r="AL11" s="208">
        <f>78+AL10</f>
        <v>478</v>
      </c>
      <c r="AM11" s="208">
        <v>2288</v>
      </c>
      <c r="AN11" s="208"/>
      <c r="AO11" s="216">
        <v>411</v>
      </c>
      <c r="AP11" s="208">
        <f>43+AP10</f>
        <v>135</v>
      </c>
      <c r="AQ11" s="208">
        <v>1526</v>
      </c>
      <c r="AR11" s="208"/>
      <c r="AS11" s="208">
        <v>869</v>
      </c>
      <c r="AT11" s="208">
        <v>979</v>
      </c>
      <c r="AU11" s="208">
        <f>AU10+69</f>
        <v>707</v>
      </c>
      <c r="AV11" s="208"/>
      <c r="AW11" s="208">
        <v>479</v>
      </c>
      <c r="AX11" s="208">
        <v>246</v>
      </c>
      <c r="AY11" s="208">
        <v>776</v>
      </c>
      <c r="AZ11" s="208"/>
      <c r="BA11" s="211">
        <v>459</v>
      </c>
      <c r="BB11" s="208">
        <v>3</v>
      </c>
      <c r="BC11" s="208">
        <v>563</v>
      </c>
      <c r="BD11" s="208"/>
      <c r="BE11" s="208">
        <v>1710</v>
      </c>
      <c r="BF11" s="208">
        <v>27</v>
      </c>
      <c r="BG11" s="208">
        <v>468</v>
      </c>
      <c r="BH11" s="208"/>
      <c r="BI11" s="208">
        <v>1248</v>
      </c>
      <c r="BJ11" s="208">
        <v>35</v>
      </c>
      <c r="BK11" s="208">
        <v>456</v>
      </c>
      <c r="BL11" s="208"/>
      <c r="BM11" s="208">
        <v>1310</v>
      </c>
      <c r="BN11" s="208">
        <v>41</v>
      </c>
      <c r="BO11" s="208">
        <v>430</v>
      </c>
      <c r="BP11" s="217"/>
      <c r="BQ11" s="208">
        <v>90</v>
      </c>
      <c r="BR11" s="208">
        <v>46</v>
      </c>
      <c r="BS11" s="208">
        <v>145</v>
      </c>
    </row>
    <row r="12" spans="1:71" ht="13.8" thickBot="1" x14ac:dyDescent="0.3">
      <c r="A12" s="22">
        <f t="shared" si="0"/>
        <v>42</v>
      </c>
      <c r="B12" s="48">
        <f t="shared" si="1"/>
        <v>40466</v>
      </c>
      <c r="C12" s="57" t="s">
        <v>70</v>
      </c>
      <c r="D12" s="48">
        <f t="shared" si="2"/>
        <v>40472</v>
      </c>
      <c r="E12" s="208">
        <v>2060</v>
      </c>
      <c r="F12" s="208">
        <v>948</v>
      </c>
      <c r="G12" s="208">
        <v>1826</v>
      </c>
      <c r="H12" s="208"/>
      <c r="I12" s="208">
        <v>1383</v>
      </c>
      <c r="J12" s="208">
        <v>554</v>
      </c>
      <c r="K12" s="208">
        <v>1989</v>
      </c>
      <c r="L12" s="208"/>
      <c r="M12" s="208">
        <v>1111</v>
      </c>
      <c r="N12" s="208">
        <v>220</v>
      </c>
      <c r="O12" s="208">
        <v>3271</v>
      </c>
      <c r="P12" s="208"/>
      <c r="Q12" s="208">
        <v>1021</v>
      </c>
      <c r="R12" s="208">
        <v>84</v>
      </c>
      <c r="S12" s="208">
        <v>4742</v>
      </c>
      <c r="T12" s="208"/>
      <c r="U12" s="208">
        <v>1967</v>
      </c>
      <c r="V12" s="208">
        <v>401</v>
      </c>
      <c r="W12" s="208">
        <v>884</v>
      </c>
      <c r="X12" s="208"/>
      <c r="Y12" s="208">
        <v>1109</v>
      </c>
      <c r="Z12" s="208">
        <v>154</v>
      </c>
      <c r="AA12" s="208">
        <v>1373</v>
      </c>
      <c r="AB12" s="208"/>
      <c r="AC12" s="88">
        <v>1292</v>
      </c>
      <c r="AD12" s="88">
        <v>909</v>
      </c>
      <c r="AE12" s="88">
        <v>822</v>
      </c>
      <c r="AF12" s="208"/>
      <c r="AG12" s="208">
        <v>1484</v>
      </c>
      <c r="AH12" s="208">
        <v>280</v>
      </c>
      <c r="AI12" s="208">
        <v>1516</v>
      </c>
      <c r="AJ12" s="208"/>
      <c r="AK12" s="208">
        <f>92+AK11</f>
        <v>2351</v>
      </c>
      <c r="AL12" s="208">
        <f>75+AL11</f>
        <v>553</v>
      </c>
      <c r="AM12" s="208">
        <v>2891</v>
      </c>
      <c r="AN12" s="208"/>
      <c r="AO12" s="216">
        <v>463</v>
      </c>
      <c r="AP12" s="208">
        <f>34+AP11</f>
        <v>169</v>
      </c>
      <c r="AQ12" s="208">
        <v>1589</v>
      </c>
      <c r="AR12" s="208"/>
      <c r="AS12" s="208">
        <v>959</v>
      </c>
      <c r="AT12" s="208">
        <v>1074</v>
      </c>
      <c r="AU12" s="208">
        <f>AU11+252</f>
        <v>959</v>
      </c>
      <c r="AV12" s="208"/>
      <c r="AW12" s="208">
        <v>527</v>
      </c>
      <c r="AX12" s="208">
        <v>391</v>
      </c>
      <c r="AY12" s="208">
        <v>1031</v>
      </c>
      <c r="AZ12" s="208"/>
      <c r="BA12" s="88">
        <v>459</v>
      </c>
      <c r="BB12" s="88">
        <v>3</v>
      </c>
      <c r="BC12" s="88">
        <v>563</v>
      </c>
      <c r="BD12" s="208"/>
      <c r="BE12" s="208">
        <v>1846</v>
      </c>
      <c r="BF12" s="208">
        <v>37</v>
      </c>
      <c r="BG12" s="208">
        <v>582</v>
      </c>
      <c r="BH12" s="208"/>
      <c r="BI12" s="208">
        <v>1387</v>
      </c>
      <c r="BJ12" s="208">
        <v>46</v>
      </c>
      <c r="BK12" s="208">
        <v>461</v>
      </c>
      <c r="BL12" s="208"/>
      <c r="BM12" s="208">
        <v>1473</v>
      </c>
      <c r="BN12" s="208">
        <v>73</v>
      </c>
      <c r="BO12" s="208">
        <v>672</v>
      </c>
      <c r="BP12" s="217"/>
      <c r="BQ12" s="208">
        <v>107</v>
      </c>
      <c r="BR12" s="208">
        <v>67</v>
      </c>
      <c r="BS12" s="208">
        <v>198</v>
      </c>
    </row>
    <row r="13" spans="1:71" x14ac:dyDescent="0.25">
      <c r="A13" s="22">
        <f t="shared" si="0"/>
        <v>43</v>
      </c>
      <c r="B13" s="48">
        <f t="shared" si="1"/>
        <v>40473</v>
      </c>
      <c r="C13" s="57" t="s">
        <v>70</v>
      </c>
      <c r="D13" s="48">
        <f t="shared" si="2"/>
        <v>40479</v>
      </c>
      <c r="E13" s="208">
        <v>2062</v>
      </c>
      <c r="F13" s="208">
        <v>978</v>
      </c>
      <c r="G13" s="208">
        <v>1988</v>
      </c>
      <c r="H13" s="208"/>
      <c r="I13" s="208">
        <v>1403</v>
      </c>
      <c r="J13" s="208">
        <v>687</v>
      </c>
      <c r="K13" s="208">
        <v>2094</v>
      </c>
      <c r="L13" s="208"/>
      <c r="M13" s="208">
        <v>1133</v>
      </c>
      <c r="N13" s="208">
        <v>230</v>
      </c>
      <c r="O13" s="208">
        <v>3296</v>
      </c>
      <c r="P13" s="208"/>
      <c r="Q13" s="208">
        <v>1022</v>
      </c>
      <c r="R13" s="208">
        <v>84</v>
      </c>
      <c r="S13" s="208">
        <v>4897</v>
      </c>
      <c r="T13" s="208"/>
      <c r="U13" s="208">
        <v>2024</v>
      </c>
      <c r="V13" s="208">
        <v>439</v>
      </c>
      <c r="W13" s="208">
        <v>896</v>
      </c>
      <c r="X13" s="208"/>
      <c r="Y13" s="208">
        <v>1126</v>
      </c>
      <c r="Z13" s="208">
        <v>170</v>
      </c>
      <c r="AA13" s="208">
        <v>1396</v>
      </c>
      <c r="AB13" s="208"/>
      <c r="AC13" s="109"/>
      <c r="AD13" s="109"/>
      <c r="AE13" s="109"/>
      <c r="AF13" s="109"/>
      <c r="AG13" s="208">
        <v>1534</v>
      </c>
      <c r="AH13" s="208">
        <v>325</v>
      </c>
      <c r="AI13" s="208">
        <v>1530</v>
      </c>
      <c r="AJ13" s="208"/>
      <c r="AK13" s="208">
        <f>109+AK12</f>
        <v>2460</v>
      </c>
      <c r="AL13" s="208">
        <f>8+AL12</f>
        <v>561</v>
      </c>
      <c r="AM13" s="208">
        <v>3194</v>
      </c>
      <c r="AN13" s="208"/>
      <c r="AO13" s="216">
        <v>512</v>
      </c>
      <c r="AP13" s="208">
        <f>123+AP12</f>
        <v>292</v>
      </c>
      <c r="AQ13" s="208">
        <v>1659</v>
      </c>
      <c r="AR13" s="208"/>
      <c r="AS13" s="208">
        <v>972</v>
      </c>
      <c r="AT13" s="208">
        <v>1092</v>
      </c>
      <c r="AU13" s="208">
        <f>AU12+129</f>
        <v>1088</v>
      </c>
      <c r="AV13" s="208"/>
      <c r="AW13" s="208">
        <v>615</v>
      </c>
      <c r="AX13" s="208">
        <v>424</v>
      </c>
      <c r="AY13" s="208">
        <v>1067</v>
      </c>
      <c r="AZ13" s="208"/>
      <c r="BA13" s="211"/>
      <c r="BB13" s="208"/>
      <c r="BC13" s="208"/>
      <c r="BD13" s="208"/>
      <c r="BE13" s="208">
        <v>1879</v>
      </c>
      <c r="BF13" s="208">
        <v>40</v>
      </c>
      <c r="BG13" s="208">
        <v>734</v>
      </c>
      <c r="BH13" s="208"/>
      <c r="BI13" s="208">
        <v>1490</v>
      </c>
      <c r="BJ13" s="208">
        <v>55</v>
      </c>
      <c r="BK13" s="208">
        <v>467</v>
      </c>
      <c r="BL13" s="208"/>
      <c r="BM13" s="208">
        <v>1501</v>
      </c>
      <c r="BN13" s="208">
        <v>93</v>
      </c>
      <c r="BO13" s="208">
        <v>691</v>
      </c>
      <c r="BP13" s="217"/>
      <c r="BQ13" s="208">
        <v>119</v>
      </c>
      <c r="BR13" s="208">
        <v>69</v>
      </c>
      <c r="BS13" s="208">
        <v>199</v>
      </c>
    </row>
    <row r="14" spans="1:71" ht="13.8" thickBot="1" x14ac:dyDescent="0.3">
      <c r="A14" s="22">
        <f t="shared" si="0"/>
        <v>44</v>
      </c>
      <c r="B14" s="48">
        <f t="shared" si="1"/>
        <v>40480</v>
      </c>
      <c r="C14" s="57" t="s">
        <v>70</v>
      </c>
      <c r="D14" s="48">
        <f t="shared" si="2"/>
        <v>40486</v>
      </c>
      <c r="E14" s="208">
        <v>2079</v>
      </c>
      <c r="F14" s="208">
        <v>989</v>
      </c>
      <c r="G14" s="208">
        <v>2006</v>
      </c>
      <c r="H14" s="208"/>
      <c r="I14" s="88">
        <v>1426</v>
      </c>
      <c r="J14" s="88">
        <v>772</v>
      </c>
      <c r="K14" s="88">
        <v>2219</v>
      </c>
      <c r="L14" s="208"/>
      <c r="M14" s="208">
        <v>1173</v>
      </c>
      <c r="N14" s="208">
        <v>235</v>
      </c>
      <c r="O14" s="208">
        <v>3455</v>
      </c>
      <c r="P14" s="208"/>
      <c r="Q14" s="208">
        <v>1031</v>
      </c>
      <c r="R14" s="208">
        <v>88</v>
      </c>
      <c r="S14" s="208">
        <v>5018</v>
      </c>
      <c r="T14" s="208"/>
      <c r="U14" s="208">
        <v>2122</v>
      </c>
      <c r="V14" s="208">
        <v>447</v>
      </c>
      <c r="W14" s="208">
        <v>901</v>
      </c>
      <c r="X14" s="208"/>
      <c r="Y14" s="208">
        <v>1144</v>
      </c>
      <c r="Z14" s="208">
        <v>178</v>
      </c>
      <c r="AA14" s="208">
        <v>1405</v>
      </c>
      <c r="AB14" s="208"/>
      <c r="AC14" s="208"/>
      <c r="AD14" s="208"/>
      <c r="AE14" s="208"/>
      <c r="AF14" s="208"/>
      <c r="AG14" s="208">
        <v>1579</v>
      </c>
      <c r="AH14" s="208">
        <v>348</v>
      </c>
      <c r="AI14" s="208">
        <v>1557</v>
      </c>
      <c r="AJ14" s="208"/>
      <c r="AK14" s="208">
        <f>93+AK13</f>
        <v>2553</v>
      </c>
      <c r="AL14" s="208">
        <f>19+AL13</f>
        <v>580</v>
      </c>
      <c r="AM14" s="208">
        <v>3558</v>
      </c>
      <c r="AN14" s="208"/>
      <c r="AO14" s="216">
        <v>546</v>
      </c>
      <c r="AP14" s="208">
        <f>73+AP13</f>
        <v>365</v>
      </c>
      <c r="AQ14" s="208">
        <v>1692</v>
      </c>
      <c r="AR14" s="208"/>
      <c r="AS14" s="208">
        <v>978</v>
      </c>
      <c r="AT14" s="208">
        <v>1094</v>
      </c>
      <c r="AU14" s="208">
        <f>AU13+6</f>
        <v>1094</v>
      </c>
      <c r="AV14" s="208"/>
      <c r="AW14" s="208">
        <v>698</v>
      </c>
      <c r="AX14" s="208">
        <v>454</v>
      </c>
      <c r="AY14" s="208">
        <v>1185</v>
      </c>
      <c r="AZ14" s="208"/>
      <c r="BA14" s="211"/>
      <c r="BB14" s="208"/>
      <c r="BC14" s="208"/>
      <c r="BD14" s="208"/>
      <c r="BE14" s="208">
        <v>1891</v>
      </c>
      <c r="BF14" s="208">
        <v>63</v>
      </c>
      <c r="BG14" s="208">
        <v>739</v>
      </c>
      <c r="BH14" s="208"/>
      <c r="BI14" s="208">
        <v>1527</v>
      </c>
      <c r="BJ14" s="208">
        <v>66</v>
      </c>
      <c r="BK14" s="208">
        <v>525</v>
      </c>
      <c r="BL14" s="208"/>
      <c r="BM14" s="208">
        <v>1502</v>
      </c>
      <c r="BN14" s="208">
        <v>94</v>
      </c>
      <c r="BO14" s="208">
        <v>693</v>
      </c>
      <c r="BP14" s="217"/>
      <c r="BQ14" s="208">
        <v>130</v>
      </c>
      <c r="BR14" s="208">
        <v>69</v>
      </c>
      <c r="BS14" s="208">
        <v>199</v>
      </c>
    </row>
    <row r="15" spans="1:71" ht="13.8" thickBot="1" x14ac:dyDescent="0.3">
      <c r="A15" s="22">
        <f t="shared" si="0"/>
        <v>45</v>
      </c>
      <c r="B15" s="48">
        <f t="shared" si="1"/>
        <v>40487</v>
      </c>
      <c r="C15" s="57" t="s">
        <v>70</v>
      </c>
      <c r="D15" s="48">
        <f t="shared" si="2"/>
        <v>40493</v>
      </c>
      <c r="E15" s="208">
        <v>2118</v>
      </c>
      <c r="F15" s="208">
        <v>998</v>
      </c>
      <c r="G15" s="208">
        <v>2025</v>
      </c>
      <c r="H15" s="208"/>
      <c r="I15" s="208"/>
      <c r="J15" s="208"/>
      <c r="K15" s="208"/>
      <c r="L15" s="208"/>
      <c r="M15" s="211">
        <v>1181</v>
      </c>
      <c r="N15" s="211">
        <v>247</v>
      </c>
      <c r="O15" s="211">
        <v>3880</v>
      </c>
      <c r="P15" s="208"/>
      <c r="Q15" s="211">
        <v>1039</v>
      </c>
      <c r="R15" s="211">
        <v>88</v>
      </c>
      <c r="S15" s="211">
        <v>5026</v>
      </c>
      <c r="T15" s="208"/>
      <c r="U15" s="208">
        <v>2122</v>
      </c>
      <c r="V15" s="208">
        <v>447</v>
      </c>
      <c r="W15" s="208">
        <v>901</v>
      </c>
      <c r="X15" s="208"/>
      <c r="Y15" s="208">
        <v>1180</v>
      </c>
      <c r="Z15" s="208">
        <v>197</v>
      </c>
      <c r="AA15" s="208">
        <v>1657</v>
      </c>
      <c r="AB15" s="208"/>
      <c r="AC15" s="208"/>
      <c r="AD15" s="208"/>
      <c r="AE15" s="208"/>
      <c r="AF15" s="208"/>
      <c r="AG15" s="208">
        <v>1600</v>
      </c>
      <c r="AH15" s="208">
        <v>359</v>
      </c>
      <c r="AI15" s="208">
        <v>1613</v>
      </c>
      <c r="AJ15" s="208"/>
      <c r="AK15" s="208">
        <f>28+AK14</f>
        <v>2581</v>
      </c>
      <c r="AL15" s="208">
        <v>587</v>
      </c>
      <c r="AM15" s="208">
        <v>3610</v>
      </c>
      <c r="AN15" s="208"/>
      <c r="AO15" s="216">
        <v>607</v>
      </c>
      <c r="AP15" s="208">
        <f>29+AP14</f>
        <v>394</v>
      </c>
      <c r="AQ15" s="208">
        <v>1721</v>
      </c>
      <c r="AR15" s="208"/>
      <c r="AS15" s="208">
        <v>1018</v>
      </c>
      <c r="AT15" s="208">
        <v>1095</v>
      </c>
      <c r="AU15" s="208">
        <f>AU14+9</f>
        <v>1103</v>
      </c>
      <c r="AV15" s="208"/>
      <c r="AW15" s="208">
        <v>744</v>
      </c>
      <c r="AX15" s="208">
        <v>471</v>
      </c>
      <c r="AY15" s="208">
        <v>1214</v>
      </c>
      <c r="AZ15" s="208"/>
      <c r="BA15" s="211"/>
      <c r="BB15" s="208"/>
      <c r="BC15" s="208"/>
      <c r="BD15" s="208"/>
      <c r="BE15" s="88">
        <v>1895</v>
      </c>
      <c r="BF15" s="88">
        <v>66</v>
      </c>
      <c r="BG15" s="88">
        <v>746</v>
      </c>
      <c r="BH15" s="211"/>
      <c r="BI15" s="211">
        <v>1561</v>
      </c>
      <c r="BJ15" s="211">
        <v>70</v>
      </c>
      <c r="BK15" s="211">
        <v>530</v>
      </c>
      <c r="BL15" s="211"/>
      <c r="BM15" s="208">
        <v>1527</v>
      </c>
      <c r="BN15" s="208">
        <v>128</v>
      </c>
      <c r="BO15" s="208">
        <v>696</v>
      </c>
      <c r="BP15" s="217"/>
      <c r="BQ15" s="208">
        <v>139</v>
      </c>
      <c r="BR15" s="208">
        <v>70</v>
      </c>
      <c r="BS15" s="208">
        <v>200</v>
      </c>
    </row>
    <row r="16" spans="1:71" ht="13.8" thickBot="1" x14ac:dyDescent="0.3">
      <c r="A16" s="22">
        <f t="shared" si="0"/>
        <v>46</v>
      </c>
      <c r="B16" s="48">
        <f t="shared" si="1"/>
        <v>40494</v>
      </c>
      <c r="C16" s="57" t="s">
        <v>70</v>
      </c>
      <c r="D16" s="48">
        <f t="shared" si="2"/>
        <v>40500</v>
      </c>
      <c r="E16" s="211">
        <v>2139</v>
      </c>
      <c r="F16" s="211">
        <v>1010</v>
      </c>
      <c r="G16" s="211">
        <v>2034</v>
      </c>
      <c r="H16" s="208"/>
      <c r="I16" s="208"/>
      <c r="J16" s="208"/>
      <c r="K16" s="208"/>
      <c r="L16" s="208"/>
      <c r="M16" s="88">
        <v>1181</v>
      </c>
      <c r="N16" s="88">
        <v>249</v>
      </c>
      <c r="O16" s="88">
        <v>3884</v>
      </c>
      <c r="P16" s="208"/>
      <c r="Q16" s="88">
        <v>1056</v>
      </c>
      <c r="R16" s="88">
        <v>97</v>
      </c>
      <c r="S16" s="88">
        <v>5189</v>
      </c>
      <c r="T16" s="208"/>
      <c r="U16" s="208">
        <v>2128</v>
      </c>
      <c r="V16" s="208">
        <v>447</v>
      </c>
      <c r="W16" s="208">
        <v>906</v>
      </c>
      <c r="X16" s="208"/>
      <c r="Y16" s="208">
        <v>1191</v>
      </c>
      <c r="Z16" s="208">
        <v>201</v>
      </c>
      <c r="AA16" s="208">
        <v>1670</v>
      </c>
      <c r="AB16" s="208"/>
      <c r="AC16" s="208"/>
      <c r="AD16" s="208"/>
      <c r="AE16" s="208"/>
      <c r="AF16" s="208"/>
      <c r="AG16" s="208">
        <v>1675</v>
      </c>
      <c r="AH16" s="208">
        <v>362</v>
      </c>
      <c r="AI16" s="208">
        <v>1654</v>
      </c>
      <c r="AJ16" s="208"/>
      <c r="AK16" s="88">
        <f>28+AK15</f>
        <v>2609</v>
      </c>
      <c r="AL16" s="88">
        <v>589</v>
      </c>
      <c r="AM16" s="88">
        <v>3616</v>
      </c>
      <c r="AN16" s="109"/>
      <c r="AO16" s="216">
        <v>710</v>
      </c>
      <c r="AP16" s="208">
        <f>56+AP15</f>
        <v>450</v>
      </c>
      <c r="AQ16" s="208">
        <v>1752</v>
      </c>
      <c r="AR16" s="208"/>
      <c r="AS16" s="208">
        <v>1072</v>
      </c>
      <c r="AT16" s="208">
        <v>1095</v>
      </c>
      <c r="AU16" s="208">
        <f>AU15+8</f>
        <v>1111</v>
      </c>
      <c r="AV16" s="214"/>
      <c r="AW16" s="208">
        <v>831</v>
      </c>
      <c r="AX16" s="208">
        <v>483</v>
      </c>
      <c r="AY16" s="208">
        <v>1248</v>
      </c>
      <c r="AZ16" s="208"/>
      <c r="BA16" s="215" t="s">
        <v>72</v>
      </c>
      <c r="BB16" s="208"/>
      <c r="BC16" s="208"/>
      <c r="BD16" s="208"/>
      <c r="BE16" s="214"/>
      <c r="BF16" s="214"/>
      <c r="BG16" s="214"/>
      <c r="BH16" s="214"/>
      <c r="BI16" s="211">
        <v>1570</v>
      </c>
      <c r="BJ16" s="211">
        <v>71</v>
      </c>
      <c r="BK16" s="211">
        <v>532</v>
      </c>
      <c r="BL16" s="211"/>
      <c r="BM16" s="208">
        <v>1579</v>
      </c>
      <c r="BN16" s="208">
        <v>155</v>
      </c>
      <c r="BO16" s="208">
        <v>712</v>
      </c>
      <c r="BP16" s="217"/>
      <c r="BQ16" s="88">
        <v>144</v>
      </c>
      <c r="BR16" s="88">
        <v>71</v>
      </c>
      <c r="BS16" s="88">
        <v>225</v>
      </c>
    </row>
    <row r="17" spans="1:71" ht="13.8" thickBot="1" x14ac:dyDescent="0.3">
      <c r="A17" s="22">
        <f t="shared" si="0"/>
        <v>47</v>
      </c>
      <c r="B17" s="48">
        <f t="shared" si="1"/>
        <v>40501</v>
      </c>
      <c r="C17" s="57" t="s">
        <v>70</v>
      </c>
      <c r="D17" s="48">
        <f t="shared" si="2"/>
        <v>40507</v>
      </c>
      <c r="E17" s="88">
        <v>2140</v>
      </c>
      <c r="F17" s="88">
        <v>1010</v>
      </c>
      <c r="G17" s="88">
        <v>2034</v>
      </c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88">
        <v>2143</v>
      </c>
      <c r="V17" s="88">
        <v>448</v>
      </c>
      <c r="W17" s="88">
        <v>919</v>
      </c>
      <c r="X17" s="208"/>
      <c r="Y17" s="88">
        <v>1191</v>
      </c>
      <c r="Z17" s="88">
        <v>202</v>
      </c>
      <c r="AA17" s="88">
        <v>1677</v>
      </c>
      <c r="AB17" s="208"/>
      <c r="AC17" s="208"/>
      <c r="AD17" s="208"/>
      <c r="AE17" s="208"/>
      <c r="AF17" s="208"/>
      <c r="AG17" s="88">
        <v>1677</v>
      </c>
      <c r="AH17" s="88">
        <v>362</v>
      </c>
      <c r="AI17" s="88">
        <v>1654</v>
      </c>
      <c r="AJ17" s="208"/>
      <c r="AK17" s="211"/>
      <c r="AL17" s="211"/>
      <c r="AM17" s="211"/>
      <c r="AN17" s="208"/>
      <c r="AO17" s="216">
        <v>805</v>
      </c>
      <c r="AP17" s="208">
        <v>559</v>
      </c>
      <c r="AQ17" s="208">
        <v>2120</v>
      </c>
      <c r="AR17" s="208"/>
      <c r="AS17" s="213">
        <v>1095</v>
      </c>
      <c r="AT17" s="213">
        <v>1095</v>
      </c>
      <c r="AU17" s="213">
        <f>AU16+1</f>
        <v>1112</v>
      </c>
      <c r="AV17" s="208"/>
      <c r="AW17" s="208">
        <v>873</v>
      </c>
      <c r="AX17" s="208">
        <v>492</v>
      </c>
      <c r="AY17" s="208">
        <v>1280</v>
      </c>
      <c r="AZ17" s="208"/>
      <c r="BA17" s="215" t="s">
        <v>73</v>
      </c>
      <c r="BB17" s="208"/>
      <c r="BC17" s="208"/>
      <c r="BD17" s="208"/>
      <c r="BE17" s="211"/>
      <c r="BF17" s="211"/>
      <c r="BG17" s="211"/>
      <c r="BH17" s="211"/>
      <c r="BI17" s="88">
        <v>1574</v>
      </c>
      <c r="BJ17" s="88">
        <v>71</v>
      </c>
      <c r="BK17" s="88">
        <v>532</v>
      </c>
      <c r="BL17" s="214"/>
      <c r="BM17" s="208">
        <v>1588</v>
      </c>
      <c r="BN17" s="208">
        <v>156</v>
      </c>
      <c r="BO17" s="208">
        <v>715</v>
      </c>
      <c r="BP17" s="217"/>
      <c r="BQ17" s="208"/>
      <c r="BR17" s="208"/>
      <c r="BS17" s="208"/>
    </row>
    <row r="18" spans="1:71" ht="13.8" thickBot="1" x14ac:dyDescent="0.3">
      <c r="A18" s="203">
        <f t="shared" si="0"/>
        <v>48</v>
      </c>
      <c r="B18" s="48">
        <f t="shared" si="1"/>
        <v>40508</v>
      </c>
      <c r="C18" s="203" t="s">
        <v>70</v>
      </c>
      <c r="D18" s="48">
        <f t="shared" si="2"/>
        <v>40514</v>
      </c>
      <c r="E18" s="208"/>
      <c r="F18" s="208"/>
      <c r="G18" s="208" t="s">
        <v>42</v>
      </c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109"/>
      <c r="AH18" s="109"/>
      <c r="AI18" s="109"/>
      <c r="AJ18" s="208"/>
      <c r="AK18" s="211"/>
      <c r="AL18" s="211"/>
      <c r="AM18" s="211"/>
      <c r="AN18" s="208"/>
      <c r="AO18" s="216">
        <v>816</v>
      </c>
      <c r="AP18" s="211">
        <v>564</v>
      </c>
      <c r="AQ18" s="208">
        <v>2132</v>
      </c>
      <c r="AR18" s="208"/>
      <c r="AS18" s="208"/>
      <c r="AT18" s="208"/>
      <c r="AU18" s="208"/>
      <c r="AV18" s="208"/>
      <c r="AW18" s="213">
        <v>875</v>
      </c>
      <c r="AX18" s="213">
        <v>494</v>
      </c>
      <c r="AY18" s="213">
        <v>1280</v>
      </c>
      <c r="AZ18" s="214"/>
      <c r="BA18" s="215" t="s">
        <v>74</v>
      </c>
      <c r="BB18" s="211"/>
      <c r="BC18" s="208"/>
      <c r="BD18" s="208"/>
      <c r="BE18" s="211"/>
      <c r="BF18" s="211"/>
      <c r="BG18" s="211"/>
      <c r="BH18" s="211"/>
      <c r="BI18" s="214"/>
      <c r="BJ18" s="214"/>
      <c r="BK18" s="214"/>
      <c r="BL18" s="214"/>
      <c r="BM18" s="88">
        <v>1589</v>
      </c>
      <c r="BN18" s="88">
        <v>156</v>
      </c>
      <c r="BO18" s="88">
        <v>718</v>
      </c>
      <c r="BP18" s="217"/>
      <c r="BQ18" s="214"/>
      <c r="BR18" s="214"/>
      <c r="BS18" s="214"/>
    </row>
    <row r="19" spans="1:71" ht="13.8" thickBot="1" x14ac:dyDescent="0.3">
      <c r="A19" s="203">
        <f t="shared" si="0"/>
        <v>49</v>
      </c>
      <c r="B19" s="48">
        <f t="shared" si="1"/>
        <v>40515</v>
      </c>
      <c r="C19" s="203" t="s">
        <v>70</v>
      </c>
      <c r="D19" s="48">
        <f t="shared" si="2"/>
        <v>40521</v>
      </c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109"/>
      <c r="AH19" s="109"/>
      <c r="AI19" s="109"/>
      <c r="AJ19" s="208"/>
      <c r="AK19" s="208"/>
      <c r="AL19" s="208"/>
      <c r="AM19" s="208"/>
      <c r="AN19" s="208"/>
      <c r="AO19" s="88">
        <v>822</v>
      </c>
      <c r="AP19" s="88">
        <v>571</v>
      </c>
      <c r="AQ19" s="88">
        <v>2145</v>
      </c>
      <c r="AR19" s="208"/>
      <c r="AS19" s="208"/>
      <c r="AT19" s="208"/>
      <c r="AU19" s="208"/>
      <c r="AV19" s="208"/>
      <c r="AW19" s="208"/>
      <c r="AX19" s="208"/>
      <c r="AY19" s="208"/>
      <c r="AZ19" s="208"/>
      <c r="BA19" s="211"/>
      <c r="BB19" s="211"/>
      <c r="BC19" s="211"/>
      <c r="BD19" s="208"/>
      <c r="BE19" s="211"/>
      <c r="BF19" s="211"/>
      <c r="BG19" s="211"/>
      <c r="BH19" s="211"/>
      <c r="BI19" s="211"/>
      <c r="BJ19" s="211"/>
      <c r="BK19" s="211"/>
      <c r="BL19" s="211"/>
      <c r="BM19" s="208"/>
      <c r="BN19" s="208"/>
      <c r="BO19" s="208"/>
      <c r="BQ19" s="21"/>
      <c r="BR19" s="21"/>
      <c r="BS19" s="21"/>
    </row>
    <row r="20" spans="1:71" x14ac:dyDescent="0.25">
      <c r="A20" s="203">
        <f t="shared" si="0"/>
        <v>50</v>
      </c>
      <c r="B20" s="48">
        <f t="shared" si="1"/>
        <v>40522</v>
      </c>
      <c r="C20" s="203" t="s">
        <v>70</v>
      </c>
      <c r="D20" s="48">
        <f t="shared" si="2"/>
        <v>40528</v>
      </c>
      <c r="AO20" s="80"/>
      <c r="AP20" s="77"/>
      <c r="AQ20" s="77"/>
      <c r="BA20" s="62"/>
      <c r="BB20" s="65"/>
      <c r="BC20" s="65"/>
      <c r="BE20" s="21"/>
      <c r="BF20" s="21"/>
      <c r="BG20" s="21"/>
      <c r="BH20" s="21"/>
      <c r="BI20" s="21"/>
      <c r="BJ20" s="21"/>
      <c r="BK20" s="21"/>
      <c r="BL20" s="21"/>
    </row>
    <row r="21" spans="1:71" x14ac:dyDescent="0.25">
      <c r="AO21" s="20"/>
      <c r="AP21" s="50"/>
      <c r="AQ21" s="50"/>
      <c r="BA21" s="66" t="s">
        <v>71</v>
      </c>
      <c r="BB21" s="65"/>
      <c r="BC21" s="65"/>
    </row>
    <row r="22" spans="1:71" x14ac:dyDescent="0.25">
      <c r="AO22" s="50"/>
      <c r="AP22" s="50"/>
      <c r="AQ22" s="50"/>
      <c r="BA22" s="65"/>
      <c r="BB22" s="65"/>
      <c r="BC22" s="65"/>
    </row>
    <row r="23" spans="1:71" x14ac:dyDescent="0.25">
      <c r="A23" s="9" t="s">
        <v>47</v>
      </c>
      <c r="AO23" s="50"/>
      <c r="AP23" s="21"/>
      <c r="AQ23" s="20"/>
      <c r="BA23" s="65"/>
      <c r="BB23" s="21"/>
      <c r="BC23" s="62"/>
    </row>
    <row r="25" spans="1:71" x14ac:dyDescent="0.25">
      <c r="A25" s="75"/>
    </row>
    <row r="26" spans="1:71" x14ac:dyDescent="0.25">
      <c r="A26" s="76"/>
      <c r="B26" s="44"/>
      <c r="C26" s="44"/>
      <c r="D26" s="44"/>
    </row>
    <row r="27" spans="1:71" x14ac:dyDescent="0.25">
      <c r="A27" s="75"/>
      <c r="B27" s="48"/>
      <c r="C27" s="75"/>
      <c r="D27" s="48"/>
      <c r="F27" s="38"/>
      <c r="G27" s="38"/>
    </row>
    <row r="28" spans="1:71" x14ac:dyDescent="0.25">
      <c r="A28" s="75"/>
      <c r="B28" s="48"/>
      <c r="C28" s="75"/>
      <c r="D28" s="48"/>
      <c r="F28" s="38"/>
      <c r="G28" s="38"/>
    </row>
    <row r="29" spans="1:71" x14ac:dyDescent="0.25">
      <c r="A29" s="75"/>
      <c r="B29" s="48"/>
      <c r="C29" s="75"/>
      <c r="D29" s="48"/>
      <c r="F29" s="38"/>
      <c r="G29" s="38"/>
    </row>
    <row r="30" spans="1:71" x14ac:dyDescent="0.25">
      <c r="A30" s="75"/>
      <c r="B30" s="48"/>
      <c r="C30" s="75"/>
      <c r="D30" s="48"/>
      <c r="E30" s="38"/>
      <c r="F30" s="38"/>
      <c r="G30" s="38"/>
    </row>
    <row r="31" spans="1:71" x14ac:dyDescent="0.25">
      <c r="A31" s="75"/>
      <c r="B31" s="48"/>
      <c r="C31" s="75"/>
      <c r="D31" s="48"/>
      <c r="E31" s="38"/>
      <c r="F31" s="38"/>
      <c r="G31" s="38"/>
    </row>
    <row r="32" spans="1:71" x14ac:dyDescent="0.25">
      <c r="A32" s="75"/>
      <c r="B32" s="48"/>
      <c r="C32" s="75"/>
      <c r="D32" s="48"/>
      <c r="E32" s="38"/>
      <c r="F32" s="38"/>
      <c r="G32" s="38"/>
    </row>
    <row r="33" spans="1:7" x14ac:dyDescent="0.25">
      <c r="A33" s="75"/>
      <c r="B33" s="48"/>
      <c r="C33" s="75"/>
      <c r="D33" s="48"/>
      <c r="E33" s="38"/>
      <c r="F33" s="38"/>
      <c r="G33" s="38"/>
    </row>
    <row r="34" spans="1:7" x14ac:dyDescent="0.25">
      <c r="A34" s="75"/>
      <c r="B34" s="48"/>
      <c r="C34" s="75"/>
      <c r="D34" s="48"/>
      <c r="E34" s="38"/>
      <c r="F34" s="38"/>
      <c r="G34" s="38"/>
    </row>
    <row r="35" spans="1:7" x14ac:dyDescent="0.25">
      <c r="A35" s="75"/>
      <c r="B35" s="48"/>
      <c r="C35" s="75"/>
      <c r="D35" s="48"/>
      <c r="E35" s="38"/>
      <c r="F35" s="38"/>
      <c r="G35" s="38"/>
    </row>
    <row r="36" spans="1:7" x14ac:dyDescent="0.25">
      <c r="A36" s="75"/>
      <c r="B36" s="48"/>
      <c r="C36" s="75"/>
      <c r="D36" s="48"/>
      <c r="E36" s="38"/>
      <c r="F36" s="38"/>
      <c r="G36" s="38"/>
    </row>
    <row r="37" spans="1:7" x14ac:dyDescent="0.25">
      <c r="A37" s="75"/>
      <c r="B37" s="48"/>
      <c r="C37" s="75"/>
      <c r="D37" s="48"/>
      <c r="E37" s="38"/>
      <c r="F37" s="13"/>
      <c r="G37" s="38"/>
    </row>
    <row r="38" spans="1:7" x14ac:dyDescent="0.25">
      <c r="A38" s="75"/>
      <c r="B38" s="48"/>
      <c r="C38" s="75"/>
      <c r="D38" s="48"/>
      <c r="E38" s="38"/>
      <c r="G38" s="38"/>
    </row>
    <row r="39" spans="1:7" x14ac:dyDescent="0.25">
      <c r="A39" s="75"/>
      <c r="B39" s="48"/>
      <c r="C39" s="75"/>
      <c r="D39" s="48"/>
      <c r="E39" s="38"/>
      <c r="G39" s="13"/>
    </row>
    <row r="40" spans="1:7" x14ac:dyDescent="0.25">
      <c r="A40" s="75"/>
      <c r="B40" s="48"/>
      <c r="C40" s="75"/>
      <c r="D40" s="48"/>
      <c r="E40" s="13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2022-09-14T18:13:32Z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