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5366DEE4-2B17-4075-95C6-FAF475553066}" xr6:coauthVersionLast="47" xr6:coauthVersionMax="47" xr10:uidLastSave="{00000000-0000-0000-0000-000000000000}"/>
  <bookViews>
    <workbookView xWindow="-44520" yWindow="-4290" windowWidth="25440" windowHeight="15990" activeTab="2" xr2:uid="{00000000-000D-0000-FFFF-FFFF00000000}"/>
  </bookViews>
  <sheets>
    <sheet name="INFO page" sheetId="1" r:id="rId1"/>
    <sheet name="JC Weir-2021" sheetId="8" r:id="rId2"/>
    <sheet name="WC Weir-2021" sheetId="3" r:id="rId3"/>
    <sheet name="TRH-2021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'TRH-2021'!$A$1:$W$47</definedName>
    <definedName name="_xlnm.Print_Area" localSheetId="2">'WC Weir-2021'!$A$1:$AG$30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23" i="8" l="1"/>
  <c r="AH24" i="8"/>
  <c r="AH25" i="8"/>
  <c r="AH26" i="8"/>
  <c r="AH27" i="8"/>
  <c r="AH28" i="8"/>
  <c r="AH29" i="8"/>
  <c r="AH30" i="8"/>
  <c r="AH31" i="8"/>
  <c r="AH32" i="8"/>
  <c r="AH33" i="8"/>
  <c r="AF25" i="8"/>
  <c r="AF26" i="8"/>
  <c r="AF27" i="8"/>
  <c r="AF28" i="8"/>
  <c r="AF29" i="8"/>
  <c r="AF30" i="8"/>
  <c r="AF31" i="8"/>
  <c r="AF32" i="8"/>
  <c r="AF33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3" i="8"/>
  <c r="AB33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3" i="8"/>
  <c r="U33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G35" i="8"/>
  <c r="M23" i="8"/>
  <c r="N23" i="8"/>
  <c r="T23" i="8"/>
  <c r="U23" i="8"/>
  <c r="AA23" i="8"/>
  <c r="AB23" i="8"/>
  <c r="AF23" i="8"/>
  <c r="M24" i="8"/>
  <c r="N24" i="8"/>
  <c r="T24" i="8"/>
  <c r="U24" i="8"/>
  <c r="AF24" i="8"/>
  <c r="AH20" i="3"/>
  <c r="AH21" i="3"/>
  <c r="AH22" i="3"/>
  <c r="AH23" i="3"/>
  <c r="AH24" i="3"/>
  <c r="AH25" i="3"/>
  <c r="AH6" i="3"/>
  <c r="AH7" i="3"/>
  <c r="AH8" i="3"/>
  <c r="AH11" i="3"/>
  <c r="AH12" i="3"/>
  <c r="AH13" i="3"/>
  <c r="AH14" i="3"/>
  <c r="AH15" i="3"/>
  <c r="AH16" i="3"/>
  <c r="AH5" i="3"/>
  <c r="AD5" i="3" l="1"/>
  <c r="AE5" i="3"/>
  <c r="AF5" i="3"/>
  <c r="AG5" i="3"/>
  <c r="I18" i="3"/>
  <c r="J18" i="3"/>
  <c r="K18" i="3"/>
  <c r="L18" i="3"/>
  <c r="P18" i="3"/>
  <c r="Q18" i="3"/>
  <c r="R18" i="3"/>
  <c r="S18" i="3"/>
  <c r="W18" i="3"/>
  <c r="X18" i="3"/>
  <c r="Y18" i="3"/>
  <c r="Z18" i="3"/>
  <c r="G18" i="3"/>
  <c r="M5" i="3"/>
  <c r="N5" i="3"/>
  <c r="T5" i="3"/>
  <c r="U5" i="3"/>
  <c r="AA5" i="3"/>
  <c r="AB5" i="3"/>
  <c r="E5" i="3"/>
  <c r="AF12" i="8"/>
  <c r="AF7" i="8"/>
  <c r="BQ33" i="7"/>
  <c r="AD20" i="3"/>
  <c r="AD21" i="3"/>
  <c r="AD23" i="3"/>
  <c r="AD24" i="3"/>
  <c r="AF11" i="8"/>
  <c r="AA22" i="4" l="1"/>
  <c r="Z22" i="4"/>
  <c r="AB21" i="4"/>
  <c r="AB22" i="4"/>
  <c r="AB23" i="4"/>
  <c r="AB24" i="4"/>
  <c r="AB5" i="4"/>
  <c r="AB6" i="4"/>
  <c r="AB7" i="4"/>
  <c r="AB8" i="4"/>
  <c r="AB9" i="4"/>
  <c r="AB10" i="4"/>
  <c r="AB11" i="4"/>
  <c r="AA11" i="4"/>
  <c r="AB32" i="4"/>
  <c r="AB31" i="4" l="1"/>
  <c r="AB30" i="4" l="1"/>
  <c r="AB29" i="4"/>
  <c r="AB28" i="4"/>
  <c r="AB27" i="4"/>
  <c r="AB26" i="4"/>
  <c r="AB25" i="4"/>
  <c r="AB20" i="4" l="1"/>
  <c r="AB18" i="4" l="1"/>
  <c r="AB19" i="4"/>
  <c r="AB17" i="4" l="1"/>
  <c r="AB16" i="4" l="1"/>
  <c r="AB13" i="4" l="1"/>
  <c r="AB14" i="4"/>
  <c r="AB15" i="4"/>
  <c r="K14" i="4" l="1"/>
  <c r="K15" i="4"/>
  <c r="K16" i="4"/>
  <c r="K17" i="4"/>
  <c r="K18" i="4"/>
  <c r="K19" i="4"/>
  <c r="K20" i="4"/>
  <c r="K21" i="4"/>
  <c r="K23" i="4"/>
  <c r="K24" i="4"/>
  <c r="K25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T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7" i="4"/>
  <c r="S37" i="4"/>
  <c r="L37" i="4"/>
  <c r="K37" i="4"/>
  <c r="AE35" i="8"/>
  <c r="AF5" i="8"/>
  <c r="AA5" i="8"/>
  <c r="T5" i="8"/>
  <c r="M5" i="8"/>
  <c r="K3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U34" i="4"/>
  <c r="BI33" i="7"/>
  <c r="AD25" i="3"/>
  <c r="AB13" i="8"/>
  <c r="AB14" i="8"/>
  <c r="AB15" i="8"/>
  <c r="AB16" i="8"/>
  <c r="AB17" i="8"/>
  <c r="N22" i="3"/>
  <c r="M22" i="3"/>
  <c r="AD22" i="3" s="1"/>
  <c r="S38" i="4"/>
  <c r="R38" i="4"/>
  <c r="L38" i="4"/>
  <c r="K38" i="4"/>
  <c r="BA1" i="6"/>
  <c r="AO1" i="6"/>
  <c r="AC1" i="6"/>
  <c r="Q1" i="6"/>
  <c r="AB39" i="8"/>
  <c r="AA39" i="8"/>
  <c r="N39" i="8"/>
  <c r="M39" i="8"/>
  <c r="E5" i="8"/>
  <c r="N5" i="8"/>
  <c r="U5" i="8"/>
  <c r="AB5" i="8"/>
  <c r="N12" i="8"/>
  <c r="U12" i="8"/>
  <c r="AB12" i="8"/>
  <c r="N14" i="8"/>
  <c r="U14" i="8"/>
  <c r="AA14" i="3"/>
  <c r="AB14" i="3"/>
  <c r="AG14" i="3" s="1"/>
  <c r="AA15" i="3"/>
  <c r="AB15" i="3"/>
  <c r="AA16" i="3"/>
  <c r="AB16" i="3"/>
  <c r="AG16" i="3" s="1"/>
  <c r="T14" i="3"/>
  <c r="U14" i="3"/>
  <c r="AF14" i="3" s="1"/>
  <c r="T15" i="3"/>
  <c r="U15" i="3"/>
  <c r="AF15" i="3" s="1"/>
  <c r="T16" i="3"/>
  <c r="U16" i="3"/>
  <c r="AF16" i="3" s="1"/>
  <c r="M14" i="3"/>
  <c r="N14" i="3"/>
  <c r="AE14" i="3" s="1"/>
  <c r="M15" i="3"/>
  <c r="N15" i="3"/>
  <c r="AE15" i="3" s="1"/>
  <c r="M16" i="3"/>
  <c r="N16" i="3"/>
  <c r="AE16" i="3" s="1"/>
  <c r="I35" i="8"/>
  <c r="J35" i="8"/>
  <c r="L35" i="8"/>
  <c r="P35" i="8"/>
  <c r="Q35" i="8"/>
  <c r="R35" i="8"/>
  <c r="S35" i="8"/>
  <c r="W35" i="8"/>
  <c r="X35" i="8"/>
  <c r="Y35" i="8"/>
  <c r="Z35" i="8"/>
  <c r="AD35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6" i="3"/>
  <c r="J40" i="4"/>
  <c r="I40" i="4"/>
  <c r="K40" i="4" s="1"/>
  <c r="H40" i="4"/>
  <c r="L40" i="4" s="1"/>
  <c r="G40" i="4"/>
  <c r="C8" i="3"/>
  <c r="S40" i="4"/>
  <c r="R40" i="4"/>
  <c r="U17" i="8"/>
  <c r="N17" i="8"/>
  <c r="U16" i="8"/>
  <c r="N16" i="8"/>
  <c r="U15" i="8"/>
  <c r="N15" i="8"/>
  <c r="U13" i="8"/>
  <c r="N13" i="8"/>
  <c r="AA12" i="3"/>
  <c r="AB12" i="3"/>
  <c r="AA13" i="3"/>
  <c r="AB13" i="3"/>
  <c r="T12" i="3"/>
  <c r="U12" i="3"/>
  <c r="T13" i="3"/>
  <c r="U13" i="3"/>
  <c r="M12" i="3"/>
  <c r="N12" i="3"/>
  <c r="M13" i="3"/>
  <c r="N13" i="3"/>
  <c r="BA1" i="7"/>
  <c r="AO1" i="7"/>
  <c r="AC1" i="7"/>
  <c r="Q1" i="7"/>
  <c r="BB1" i="5"/>
  <c r="AT1" i="5"/>
  <c r="AD1" i="5"/>
  <c r="R1" i="5"/>
  <c r="BA33" i="7"/>
  <c r="V41" i="4"/>
  <c r="U41" i="4"/>
  <c r="R41" i="4"/>
  <c r="V34" i="4"/>
  <c r="K41" i="4"/>
  <c r="S41" i="4"/>
  <c r="L41" i="4"/>
  <c r="AA6" i="3"/>
  <c r="AB6" i="3"/>
  <c r="T6" i="3"/>
  <c r="U6" i="3"/>
  <c r="M6" i="3"/>
  <c r="N6" i="3"/>
  <c r="AW33" i="7"/>
  <c r="L14" i="4"/>
  <c r="Z14" i="4" s="1"/>
  <c r="L15" i="4"/>
  <c r="Z15" i="4" s="1"/>
  <c r="L16" i="4"/>
  <c r="Z16" i="4" s="1"/>
  <c r="L17" i="4"/>
  <c r="Z17" i="4" s="1"/>
  <c r="L18" i="4"/>
  <c r="Z18" i="4" s="1"/>
  <c r="L19" i="4"/>
  <c r="Z19" i="4" s="1"/>
  <c r="L20" i="4"/>
  <c r="Z20" i="4" s="1"/>
  <c r="L21" i="4"/>
  <c r="Z21" i="4" s="1"/>
  <c r="L23" i="4"/>
  <c r="Z23" i="4" s="1"/>
  <c r="L24" i="4"/>
  <c r="Z24" i="4" s="1"/>
  <c r="L25" i="4"/>
  <c r="L26" i="4"/>
  <c r="L27" i="4"/>
  <c r="L28" i="4"/>
  <c r="L29" i="4"/>
  <c r="L30" i="4"/>
  <c r="L31" i="4"/>
  <c r="L32" i="4"/>
  <c r="L13" i="4"/>
  <c r="Z13" i="4" s="1"/>
  <c r="R31" i="4"/>
  <c r="X31" i="4" s="1"/>
  <c r="R32" i="4"/>
  <c r="X32" i="4" s="1"/>
  <c r="S14" i="4"/>
  <c r="AA14" i="4" s="1"/>
  <c r="S15" i="4"/>
  <c r="S16" i="4"/>
  <c r="S17" i="4"/>
  <c r="S18" i="4"/>
  <c r="S19" i="4"/>
  <c r="S20" i="4"/>
  <c r="S21" i="4"/>
  <c r="S23" i="4"/>
  <c r="AA23" i="4" s="1"/>
  <c r="N34" i="4"/>
  <c r="H11" i="4"/>
  <c r="I11" i="4"/>
  <c r="J11" i="4"/>
  <c r="G11" i="4"/>
  <c r="AA7" i="3"/>
  <c r="AB7" i="3"/>
  <c r="AA8" i="3"/>
  <c r="AB8" i="3"/>
  <c r="AA9" i="3"/>
  <c r="AB9" i="3"/>
  <c r="AA10" i="3"/>
  <c r="AB10" i="3"/>
  <c r="AG10" i="3" s="1"/>
  <c r="AA11" i="3"/>
  <c r="AB11" i="3"/>
  <c r="AG11" i="3" s="1"/>
  <c r="T7" i="3"/>
  <c r="U7" i="3"/>
  <c r="T8" i="3"/>
  <c r="U8" i="3"/>
  <c r="T9" i="3"/>
  <c r="U9" i="3"/>
  <c r="T10" i="3"/>
  <c r="U10" i="3"/>
  <c r="T11" i="3"/>
  <c r="U11" i="3"/>
  <c r="AF11" i="3" s="1"/>
  <c r="M7" i="3"/>
  <c r="N7" i="3"/>
  <c r="M8" i="3"/>
  <c r="N8" i="3"/>
  <c r="M9" i="3"/>
  <c r="N9" i="3"/>
  <c r="M10" i="3"/>
  <c r="N10" i="3"/>
  <c r="AE10" i="3" s="1"/>
  <c r="M11" i="3"/>
  <c r="N11" i="3"/>
  <c r="AE11" i="3" s="1"/>
  <c r="R30" i="4"/>
  <c r="X30" i="4" s="1"/>
  <c r="S29" i="4"/>
  <c r="R29" i="4"/>
  <c r="X29" i="4" s="1"/>
  <c r="S28" i="4"/>
  <c r="R28" i="4"/>
  <c r="X28" i="4" s="1"/>
  <c r="S27" i="4"/>
  <c r="R27" i="4"/>
  <c r="X27" i="4" s="1"/>
  <c r="S26" i="4"/>
  <c r="R26" i="4"/>
  <c r="X26" i="4" s="1"/>
  <c r="S25" i="4"/>
  <c r="R25" i="4"/>
  <c r="X25" i="4" s="1"/>
  <c r="S24" i="4"/>
  <c r="R24" i="4"/>
  <c r="X24" i="4" s="1"/>
  <c r="L10" i="4"/>
  <c r="K10" i="4"/>
  <c r="L9" i="4"/>
  <c r="K9" i="4"/>
  <c r="X9" i="4" s="1"/>
  <c r="L8" i="4"/>
  <c r="K8" i="4"/>
  <c r="X8" i="4" s="1"/>
  <c r="L7" i="4"/>
  <c r="K7" i="4"/>
  <c r="X7" i="4" s="1"/>
  <c r="S10" i="4"/>
  <c r="S9" i="4"/>
  <c r="AA9" i="4" s="1"/>
  <c r="S8" i="4"/>
  <c r="AA8" i="4" s="1"/>
  <c r="S7" i="4"/>
  <c r="AA7" i="4" s="1"/>
  <c r="S6" i="4"/>
  <c r="AA6" i="4" s="1"/>
  <c r="S5" i="4"/>
  <c r="AA5" i="4" s="1"/>
  <c r="R23" i="4"/>
  <c r="X23" i="4" s="1"/>
  <c r="R21" i="4"/>
  <c r="X21" i="4" s="1"/>
  <c r="R20" i="4"/>
  <c r="X20" i="4" s="1"/>
  <c r="R19" i="4"/>
  <c r="R18" i="4"/>
  <c r="R17" i="4"/>
  <c r="X17" i="4" s="1"/>
  <c r="R16" i="4"/>
  <c r="R15" i="4"/>
  <c r="X15" i="4" s="1"/>
  <c r="R14" i="4"/>
  <c r="X14" i="4" s="1"/>
  <c r="S13" i="4"/>
  <c r="AA13" i="4" s="1"/>
  <c r="R13" i="4"/>
  <c r="X13" i="4" s="1"/>
  <c r="R10" i="4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O34" i="4"/>
  <c r="P34" i="4"/>
  <c r="Q34" i="4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 s="1"/>
  <c r="C10" i="4" s="1"/>
  <c r="E6" i="4"/>
  <c r="E7" i="4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AF10" i="3" l="1"/>
  <c r="E6" i="8"/>
  <c r="AG9" i="3"/>
  <c r="AF9" i="3"/>
  <c r="AE9" i="3"/>
  <c r="AA18" i="3"/>
  <c r="AG8" i="3"/>
  <c r="AF8" i="3"/>
  <c r="M18" i="3"/>
  <c r="AE18" i="3" s="1"/>
  <c r="AE8" i="3"/>
  <c r="AG7" i="3"/>
  <c r="U18" i="3"/>
  <c r="T18" i="3"/>
  <c r="AF7" i="3"/>
  <c r="N18" i="3"/>
  <c r="AE7" i="3"/>
  <c r="AG6" i="3"/>
  <c r="AB18" i="3"/>
  <c r="AF6" i="3"/>
  <c r="AE6" i="3"/>
  <c r="AD6" i="3"/>
  <c r="AG15" i="3"/>
  <c r="AG13" i="3"/>
  <c r="AF13" i="3"/>
  <c r="AE13" i="3"/>
  <c r="AE12" i="3"/>
  <c r="AF12" i="3"/>
  <c r="AG12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AA24" i="4"/>
  <c r="AA10" i="4"/>
  <c r="AA21" i="4"/>
  <c r="AA17" i="4"/>
  <c r="AA20" i="4"/>
  <c r="AA15" i="4"/>
  <c r="X10" i="4"/>
  <c r="Z6" i="4"/>
  <c r="Z7" i="4"/>
  <c r="Z9" i="4"/>
  <c r="Z5" i="4"/>
  <c r="Z8" i="4"/>
  <c r="Z10" i="4"/>
  <c r="AA19" i="4"/>
  <c r="X19" i="4"/>
  <c r="AA18" i="4"/>
  <c r="X18" i="4"/>
  <c r="AA16" i="4"/>
  <c r="X16" i="4"/>
  <c r="AD16" i="3"/>
  <c r="R34" i="4"/>
  <c r="L33" i="4"/>
  <c r="J34" i="4"/>
  <c r="I34" i="4"/>
  <c r="H34" i="4"/>
  <c r="G34" i="4"/>
  <c r="S34" i="4"/>
  <c r="AH22" i="8"/>
  <c r="M35" i="8"/>
  <c r="AH21" i="8"/>
  <c r="AD8" i="3"/>
  <c r="AD15" i="3"/>
  <c r="AD11" i="3"/>
  <c r="AD7" i="3"/>
  <c r="AD14" i="3"/>
  <c r="AD10" i="3"/>
  <c r="AH10" i="3" s="1"/>
  <c r="AD12" i="3"/>
  <c r="AD9" i="3"/>
  <c r="AH9" i="3" s="1"/>
  <c r="AD13" i="3"/>
  <c r="E8" i="3"/>
  <c r="C9" i="3"/>
  <c r="E7" i="3"/>
  <c r="K11" i="4"/>
  <c r="K34" i="4" s="1"/>
  <c r="L11" i="4"/>
  <c r="U35" i="8"/>
  <c r="AH20" i="8"/>
  <c r="AF35" i="8"/>
  <c r="T35" i="8"/>
  <c r="E8" i="8"/>
  <c r="C9" i="8"/>
  <c r="AA35" i="8"/>
  <c r="N35" i="8"/>
  <c r="AB35" i="8"/>
  <c r="E7" i="8"/>
  <c r="AH18" i="8"/>
  <c r="AF18" i="3" l="1"/>
  <c r="AG18" i="3"/>
  <c r="X34" i="4"/>
  <c r="Z11" i="4"/>
  <c r="L34" i="4"/>
  <c r="AD18" i="3"/>
  <c r="AH18" i="3" s="1"/>
  <c r="AH26" i="3" s="1"/>
  <c r="C10" i="3"/>
  <c r="E9" i="3"/>
  <c r="AH35" i="8"/>
  <c r="E9" i="8"/>
  <c r="C10" i="8"/>
  <c r="E10" i="3" l="1"/>
  <c r="C11" i="3"/>
  <c r="C11" i="8"/>
  <c r="E10" i="8"/>
  <c r="C12" i="3" l="1"/>
  <c r="E11" i="3"/>
  <c r="C12" i="8"/>
  <c r="E11" i="8"/>
  <c r="C13" i="3" l="1"/>
  <c r="E12" i="3"/>
  <c r="C13" i="8"/>
  <c r="E12" i="8"/>
  <c r="E13" i="3" l="1"/>
  <c r="C14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E14" i="3"/>
  <c r="C15" i="3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C16" i="3"/>
  <c r="E15" i="3"/>
  <c r="E16" i="3" l="1"/>
</calcChain>
</file>

<file path=xl/sharedStrings.xml><?xml version="1.0" encoding="utf-8"?>
<sst xmlns="http://schemas.openxmlformats.org/spreadsheetml/2006/main" count="608" uniqueCount="147">
  <si>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</si>
  <si>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</si>
  <si>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</si>
  <si>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</si>
  <si>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</si>
  <si>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</si>
  <si>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</si>
  <si>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</si>
  <si>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</si>
  <si>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</si>
  <si>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</si>
  <si>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</si>
  <si>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</si>
  <si>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</si>
  <si>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</si>
  <si>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</si>
  <si>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</si>
  <si>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</si>
  <si>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</si>
  <si>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</si>
  <si>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</si>
  <si>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</si>
  <si>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</si>
  <si>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</si>
  <si>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</si>
  <si>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</si>
  <si>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</si>
  <si>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</si>
  <si>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</si>
  <si>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</si>
  <si>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</si>
  <si>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</si>
  <si>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</si>
  <si>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</si>
  <si>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</si>
  <si>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</si>
  <si>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</si>
  <si>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</si>
  <si>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</si>
  <si>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</si>
  <si>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</si>
  <si>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</si>
  <si>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</si>
  <si>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</si>
  <si>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</si>
  <si>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</si>
  <si>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</si>
  <si>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</si>
  <si>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</si>
  <si>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</si>
  <si>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</si>
  <si>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</si>
  <si>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</si>
  <si>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</si>
  <si>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</si>
  <si>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</si>
  <si>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</si>
  <si>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</si>
  <si>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</si>
  <si>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</si>
  <si>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</si>
  <si>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</si>
  <si>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</si>
  <si>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</si>
  <si>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</si>
  <si>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</si>
  <si>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</si>
  <si>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</si>
  <si>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</si>
  <si>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</si>
  <si>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</si>
  <si>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</si>
  <si>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</si>
  <si>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</si>
  <si>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</si>
  <si>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</si>
  <si>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</si>
  <si>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</si>
  <si>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</si>
  <si>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</si>
  <si>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</si>
  <si>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</si>
  <si>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</si>
  <si>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</si>
  <si>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</si>
  <si>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</si>
  <si>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</si>
  <si>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</si>
  <si>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</si>
  <si>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</si>
  <si>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</si>
  <si>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</si>
  <si>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</si>
  <si>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</si>
  <si>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</si>
  <si>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</si>
  <si>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</si>
  <si>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</si>
  <si>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</si>
  <si>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</si>
  <si>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</si>
  <si>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</si>
  <si>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</si>
  <si>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</si>
  <si>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</si>
  <si>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</si>
  <si>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</si>
  <si>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</si>
  <si>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</si>
  <si>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</si>
  <si>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</si>
  <si>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</si>
  <si>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</si>
  <si>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</si>
  <si>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</si>
  <si>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</si>
  <si>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</si>
  <si>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</si>
  <si>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</si>
  <si>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</si>
  <si>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</si>
  <si>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</si>
  <si>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</si>
  <si>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</si>
  <si>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</si>
  <si>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</si>
  <si>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2021/22 Trinity River Hatchery trapping summary.</t>
    </r>
    <r>
      <rPr>
        <b/>
        <vertAlign val="superscript"/>
        <sz val="10"/>
        <rFont val="Arial"/>
        <family val="2"/>
      </rPr>
      <t>1</t>
    </r>
  </si>
  <si>
    <t>5/  In 2021, Chinook processed prior to Julian week 43 are considered spring Chinook, those after Julian week 42 are considered fall Chinook.</t>
  </si>
  <si>
    <t>Junction City weir, cumulative weekly trapping totals, 2004-2020.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</si>
  <si>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</si>
  <si>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2021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</si>
  <si>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2021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</si>
  <si>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</si>
  <si>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</si>
  <si>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</si>
  <si>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</si>
  <si>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</si>
  <si>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</si>
  <si>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t>2021 Season Totals:</t>
  </si>
  <si>
    <t>2021 Fall Chinook subtotal:</t>
  </si>
  <si>
    <t>2021 Spring Chinook subtotal:</t>
  </si>
  <si>
    <t>FLOWS/FIRE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</si>
  <si>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</si>
  <si>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t>5/ NOTE! Any grilse Chinook showing as ad-clipped in 2021 is likely a short 3 year old. There was no adipose clipping performed on the BY2019 age 2 year class.</t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</si>
  <si>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</si>
  <si>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 xml:space="preserve">7/ NOTE! Any grilse Chinook showing as ad-clipped in 2021 is likely a short 3 year old. There was no adipose clipping performed on the BY2019 age 2 year class.  </t>
  </si>
  <si>
    <t>avg /trpdy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</si>
</sst>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85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3.2" x14ac:dyDescent="0.25"/>
  <sheetData>
    <row r="1" spans="1:15" s="100" customFormat="1" x14ac:dyDescent="0.25">
      <c r="A1" s="127" t="s">
        <v>0</v>
      </c>
    </row>
    <row r="2" spans="1:15" s="100" customFormat="1" x14ac:dyDescent="0.25">
      <c r="A2" s="127" t="s">
        <v>1</v>
      </c>
    </row>
    <row r="3" spans="1:15" s="100" customFormat="1" x14ac:dyDescent="0.25">
      <c r="A3" s="100" t="s">
        <v>2</v>
      </c>
    </row>
    <row r="4" spans="1:15" x14ac:dyDescent="0.25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5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5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5">
      <c r="A7" s="100" t="s">
        <v>4</v>
      </c>
    </row>
    <row r="8" spans="1:15" s="100" customFormat="1" x14ac:dyDescent="0.25">
      <c r="A8" s="100" t="s">
        <v>5</v>
      </c>
    </row>
    <row r="9" spans="1:15" s="100" customFormat="1" x14ac:dyDescent="0.25">
      <c r="A9" s="100" t="s">
        <v>6</v>
      </c>
    </row>
    <row r="10" spans="1:15" s="100" customFormat="1" x14ac:dyDescent="0.25">
      <c r="A10" s="100" t="s">
        <v>59</v>
      </c>
    </row>
    <row r="11" spans="1:15" s="100" customFormat="1" x14ac:dyDescent="0.25">
      <c r="A11" s="128" t="s">
        <v>95</v>
      </c>
    </row>
    <row r="12" spans="1:15" s="100" customFormat="1" x14ac:dyDescent="0.25">
      <c r="A12" s="100" t="s">
        <v>7</v>
      </c>
    </row>
    <row r="13" spans="1:15" s="100" customFormat="1" x14ac:dyDescent="0.25">
      <c r="A13" s="100" t="s">
        <v>8</v>
      </c>
    </row>
    <row r="14" spans="1:15" s="100" customFormat="1" x14ac:dyDescent="0.25">
      <c r="A14" s="100" t="s">
        <v>60</v>
      </c>
    </row>
    <row r="15" spans="1:15" s="100" customFormat="1" x14ac:dyDescent="0.25"/>
    <row r="16" spans="1:15" s="100" customFormat="1" x14ac:dyDescent="0.25">
      <c r="A16" s="127" t="s">
        <v>9</v>
      </c>
    </row>
    <row r="17" spans="1:1" s="100" customFormat="1" x14ac:dyDescent="0.25">
      <c r="A17" s="128" t="s">
        <v>96</v>
      </c>
    </row>
    <row r="18" spans="1:1" s="100" customFormat="1" x14ac:dyDescent="0.25">
      <c r="A18" s="100" t="s">
        <v>69</v>
      </c>
    </row>
    <row r="19" spans="1:1" s="100" customFormat="1" x14ac:dyDescent="0.25">
      <c r="A19" s="128" t="s">
        <v>97</v>
      </c>
    </row>
    <row r="20" spans="1:1" s="100" customFormat="1" x14ac:dyDescent="0.25">
      <c r="A20" s="100" t="s">
        <v>77</v>
      </c>
    </row>
    <row r="21" spans="1:1" s="100" customFormat="1" x14ac:dyDescent="0.25">
      <c r="A21" s="128" t="s">
        <v>98</v>
      </c>
    </row>
    <row r="22" spans="1:1" s="100" customFormat="1" x14ac:dyDescent="0.25">
      <c r="A22" s="128" t="s">
        <v>99</v>
      </c>
    </row>
    <row r="23" spans="1:1" s="100" customFormat="1" x14ac:dyDescent="0.25">
      <c r="A23" s="100" t="s">
        <v>61</v>
      </c>
    </row>
    <row r="24" spans="1:1" s="100" customFormat="1" x14ac:dyDescent="0.25"/>
    <row r="25" spans="1:1" s="100" customFormat="1" x14ac:dyDescent="0.25">
      <c r="A25" s="127" t="s">
        <v>10</v>
      </c>
    </row>
    <row r="26" spans="1:1" s="100" customFormat="1" x14ac:dyDescent="0.25">
      <c r="A26" s="128" t="s">
        <v>100</v>
      </c>
    </row>
    <row r="27" spans="1:1" s="100" customFormat="1" x14ac:dyDescent="0.25">
      <c r="A27" s="100" t="s">
        <v>114</v>
      </c>
    </row>
    <row r="28" spans="1:1" s="100" customFormat="1" x14ac:dyDescent="0.25">
      <c r="A28" s="128" t="s">
        <v>101</v>
      </c>
    </row>
    <row r="29" spans="1:1" s="100" customFormat="1" x14ac:dyDescent="0.25">
      <c r="A29" s="100" t="s">
        <v>11</v>
      </c>
    </row>
    <row r="30" spans="1:1" s="100" customFormat="1" x14ac:dyDescent="0.25"/>
    <row r="31" spans="1:1" s="100" customFormat="1" x14ac:dyDescent="0.25">
      <c r="A31" s="127" t="s">
        <v>12</v>
      </c>
    </row>
    <row r="32" spans="1:1" s="100" customFormat="1" x14ac:dyDescent="0.25">
      <c r="A32" s="100" t="s">
        <v>13</v>
      </c>
    </row>
    <row r="33" spans="1:1" s="100" customFormat="1" x14ac:dyDescent="0.25">
      <c r="A33" s="100" t="s">
        <v>14</v>
      </c>
    </row>
    <row r="34" spans="1:1" s="100" customFormat="1" x14ac:dyDescent="0.25">
      <c r="A34" s="100" t="s">
        <v>15</v>
      </c>
    </row>
    <row r="35" spans="1:1" s="100" customFormat="1" x14ac:dyDescent="0.25">
      <c r="A35" s="128" t="s">
        <v>102</v>
      </c>
    </row>
    <row r="36" spans="1:1" s="100" customFormat="1" x14ac:dyDescent="0.25">
      <c r="A36" s="100" t="s">
        <v>16</v>
      </c>
    </row>
    <row r="37" spans="1:1" s="100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1"/>
  <sheetViews>
    <sheetView topLeftCell="A13" zoomScale="110" zoomScaleNormal="110" workbookViewId="0">
      <selection activeCell="W29" sqref="W29"/>
    </sheetView>
  </sheetViews>
  <sheetFormatPr defaultColWidth="8.88671875" defaultRowHeight="13.2" x14ac:dyDescent="0.25"/>
  <cols>
    <col min="1" max="1" width="6" style="68" customWidth="1"/>
    <col min="2" max="2" width="2.109375" style="73" customWidth="1"/>
    <col min="3" max="3" width="6.88671875" style="73" customWidth="1"/>
    <col min="4" max="4" width="2.5546875" style="73" customWidth="1"/>
    <col min="5" max="5" width="7" style="73" customWidth="1"/>
    <col min="6" max="6" width="2.5546875" style="73" customWidth="1"/>
    <col min="7" max="7" width="5.88671875" style="73" customWidth="1"/>
    <col min="8" max="8" width="2.5546875" style="73" customWidth="1"/>
    <col min="9" max="9" width="6.6640625" style="73" customWidth="1"/>
    <col min="10" max="10" width="6" style="73" customWidth="1"/>
    <col min="11" max="11" width="6.6640625" style="73" customWidth="1"/>
    <col min="12" max="12" width="5.5546875" style="73" customWidth="1"/>
    <col min="13" max="13" width="6.6640625" style="73" customWidth="1"/>
    <col min="14" max="14" width="5.5546875" style="73" customWidth="1"/>
    <col min="15" max="15" width="2.5546875" style="73" customWidth="1"/>
    <col min="16" max="21" width="5.6640625" style="73" customWidth="1"/>
    <col min="22" max="22" width="2.6640625" style="73" customWidth="1"/>
    <col min="23" max="23" width="6.6640625" style="73" customWidth="1"/>
    <col min="24" max="24" width="5.6640625" style="73" customWidth="1"/>
    <col min="25" max="25" width="6.6640625" style="73" customWidth="1"/>
    <col min="26" max="26" width="5.5546875" style="73" customWidth="1"/>
    <col min="27" max="27" width="6.6640625" style="73" customWidth="1"/>
    <col min="28" max="28" width="5.5546875" style="73" customWidth="1"/>
    <col min="29" max="29" width="2.33203125" style="73" customWidth="1"/>
    <col min="30" max="30" width="6.5546875" style="73" customWidth="1"/>
    <col min="31" max="31" width="8.109375" style="73" customWidth="1"/>
    <col min="32" max="32" width="7.44140625" style="73" customWidth="1"/>
    <col min="33" max="33" width="3.5546875" style="73" customWidth="1"/>
    <col min="34" max="34" width="8.88671875" style="207"/>
    <col min="35" max="35" width="5.33203125" style="73" customWidth="1"/>
    <col min="36" max="16384" width="8.88671875" style="73"/>
  </cols>
  <sheetData>
    <row r="1" spans="1:35" s="132" customFormat="1" ht="15.6" x14ac:dyDescent="0.25">
      <c r="A1" s="132" t="s">
        <v>131</v>
      </c>
      <c r="AH1" s="139"/>
    </row>
    <row r="2" spans="1:35" s="132" customFormat="1" x14ac:dyDescent="0.25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61" t="s">
        <v>26</v>
      </c>
      <c r="AE2" s="261"/>
      <c r="AF2" s="261"/>
      <c r="AH2" s="139"/>
    </row>
    <row r="3" spans="1:35" s="132" customFormat="1" ht="15.6" x14ac:dyDescent="0.25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62"/>
      <c r="AE3" s="262"/>
      <c r="AF3" s="262"/>
      <c r="AH3" s="139"/>
    </row>
    <row r="4" spans="1:35" s="132" customFormat="1" ht="15.6" x14ac:dyDescent="0.25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39" t="s">
        <v>106</v>
      </c>
      <c r="AI4" s="145" t="s">
        <v>115</v>
      </c>
    </row>
    <row r="5" spans="1:35" s="135" customFormat="1" ht="2.4" customHeight="1" x14ac:dyDescent="0.25">
      <c r="A5" s="133">
        <v>28</v>
      </c>
      <c r="B5" s="199"/>
      <c r="C5" s="200">
        <v>43979</v>
      </c>
      <c r="D5" s="133" t="s">
        <v>35</v>
      </c>
      <c r="E5" s="200">
        <f t="shared" ref="E5:E12" si="0">C5+6</f>
        <v>43985</v>
      </c>
      <c r="F5" s="199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5">
      <c r="A6" s="139">
        <v>23</v>
      </c>
      <c r="B6" s="199"/>
      <c r="C6" s="200">
        <f t="shared" ref="C6:C12" si="8">C5+7</f>
        <v>43986</v>
      </c>
      <c r="D6" s="133" t="s">
        <v>35</v>
      </c>
      <c r="E6" s="200">
        <f t="shared" si="0"/>
        <v>43992</v>
      </c>
      <c r="F6" s="199"/>
      <c r="G6" s="136">
        <v>5</v>
      </c>
      <c r="H6" s="136"/>
      <c r="I6" s="136">
        <v>1</v>
      </c>
      <c r="J6" s="136">
        <v>1</v>
      </c>
      <c r="K6" s="136">
        <v>11</v>
      </c>
      <c r="L6" s="136">
        <v>1</v>
      </c>
      <c r="M6" s="71">
        <f t="shared" ref="M6:M11" si="9">K6+I6</f>
        <v>12</v>
      </c>
      <c r="N6" s="71">
        <f t="shared" ref="N6:N11" si="10">L6+J6</f>
        <v>2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1</v>
      </c>
      <c r="AF6" s="71">
        <f t="shared" ref="AF6:AF25" si="13">SUM(AD6:AE6)</f>
        <v>1</v>
      </c>
      <c r="AH6" s="133">
        <f t="shared" ref="AH6:AH19" si="14">AF6+AA6+T6+M6</f>
        <v>13</v>
      </c>
      <c r="AI6" s="135">
        <v>23</v>
      </c>
    </row>
    <row r="7" spans="1:35" s="135" customFormat="1" x14ac:dyDescent="0.25">
      <c r="A7" s="139">
        <v>24</v>
      </c>
      <c r="B7" s="199"/>
      <c r="C7" s="200">
        <f t="shared" si="8"/>
        <v>43993</v>
      </c>
      <c r="D7" s="133" t="s">
        <v>35</v>
      </c>
      <c r="E7" s="200">
        <f t="shared" si="0"/>
        <v>43999</v>
      </c>
      <c r="F7" s="199"/>
      <c r="G7" s="136">
        <v>5</v>
      </c>
      <c r="H7" s="136"/>
      <c r="I7" s="136">
        <v>2</v>
      </c>
      <c r="J7" s="136">
        <v>0</v>
      </c>
      <c r="K7" s="136">
        <v>30</v>
      </c>
      <c r="L7" s="136">
        <v>10</v>
      </c>
      <c r="M7" s="71">
        <f t="shared" si="9"/>
        <v>32</v>
      </c>
      <c r="N7" s="71">
        <f t="shared" si="10"/>
        <v>10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1</v>
      </c>
      <c r="Z7" s="136">
        <v>0</v>
      </c>
      <c r="AA7" s="71">
        <f t="shared" si="5"/>
        <v>1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33</v>
      </c>
      <c r="AI7" s="135">
        <v>24</v>
      </c>
    </row>
    <row r="8" spans="1:35" s="135" customFormat="1" x14ac:dyDescent="0.25">
      <c r="A8" s="139">
        <v>25</v>
      </c>
      <c r="B8" s="199"/>
      <c r="C8" s="200">
        <f t="shared" si="8"/>
        <v>44000</v>
      </c>
      <c r="D8" s="133" t="s">
        <v>35</v>
      </c>
      <c r="E8" s="200">
        <f t="shared" si="0"/>
        <v>44006</v>
      </c>
      <c r="F8" s="199"/>
      <c r="G8" s="136">
        <v>5</v>
      </c>
      <c r="H8" s="136"/>
      <c r="I8" s="136">
        <v>23</v>
      </c>
      <c r="J8" s="136">
        <v>0</v>
      </c>
      <c r="K8" s="136">
        <v>351</v>
      </c>
      <c r="L8" s="136">
        <v>78</v>
      </c>
      <c r="M8" s="71">
        <f t="shared" si="9"/>
        <v>374</v>
      </c>
      <c r="N8" s="71">
        <f t="shared" si="10"/>
        <v>78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1</v>
      </c>
      <c r="X8" s="136">
        <v>0</v>
      </c>
      <c r="Y8" s="136">
        <v>5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4</v>
      </c>
      <c r="AF8" s="71">
        <f t="shared" si="13"/>
        <v>4</v>
      </c>
      <c r="AH8" s="133">
        <f t="shared" si="14"/>
        <v>384</v>
      </c>
      <c r="AI8" s="135">
        <v>25</v>
      </c>
    </row>
    <row r="9" spans="1:35" s="135" customFormat="1" x14ac:dyDescent="0.25">
      <c r="A9" s="139">
        <v>26</v>
      </c>
      <c r="B9" s="199"/>
      <c r="C9" s="200">
        <f t="shared" si="8"/>
        <v>44007</v>
      </c>
      <c r="D9" s="133" t="s">
        <v>35</v>
      </c>
      <c r="E9" s="200">
        <f t="shared" si="0"/>
        <v>44013</v>
      </c>
      <c r="F9" s="199"/>
      <c r="G9" s="136">
        <v>5</v>
      </c>
      <c r="H9" s="136"/>
      <c r="I9" s="136">
        <v>14</v>
      </c>
      <c r="J9" s="136">
        <v>0</v>
      </c>
      <c r="K9" s="136">
        <v>107</v>
      </c>
      <c r="L9" s="136">
        <v>23</v>
      </c>
      <c r="M9" s="71">
        <f t="shared" si="9"/>
        <v>121</v>
      </c>
      <c r="N9" s="71">
        <f t="shared" si="10"/>
        <v>23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1</v>
      </c>
      <c r="X9" s="136">
        <v>0</v>
      </c>
      <c r="Y9" s="136">
        <v>25</v>
      </c>
      <c r="Z9" s="136">
        <v>2</v>
      </c>
      <c r="AA9" s="71">
        <f t="shared" si="5"/>
        <v>26</v>
      </c>
      <c r="AB9" s="71">
        <f t="shared" si="6"/>
        <v>2</v>
      </c>
      <c r="AC9" s="136"/>
      <c r="AD9" s="136">
        <v>0</v>
      </c>
      <c r="AE9" s="136">
        <v>1</v>
      </c>
      <c r="AF9" s="71">
        <f t="shared" si="13"/>
        <v>1</v>
      </c>
      <c r="AH9" s="133">
        <f t="shared" si="14"/>
        <v>148</v>
      </c>
      <c r="AI9" s="135">
        <v>26</v>
      </c>
    </row>
    <row r="10" spans="1:35" s="135" customFormat="1" x14ac:dyDescent="0.25">
      <c r="A10" s="139">
        <v>27</v>
      </c>
      <c r="B10" s="199"/>
      <c r="C10" s="200">
        <f t="shared" si="8"/>
        <v>44014</v>
      </c>
      <c r="D10" s="133" t="s">
        <v>35</v>
      </c>
      <c r="E10" s="200">
        <f t="shared" si="0"/>
        <v>44020</v>
      </c>
      <c r="F10" s="199"/>
      <c r="G10" s="136">
        <v>4</v>
      </c>
      <c r="H10" s="136"/>
      <c r="I10" s="136">
        <v>2</v>
      </c>
      <c r="J10" s="136">
        <v>0</v>
      </c>
      <c r="K10" s="136">
        <v>16</v>
      </c>
      <c r="L10" s="136">
        <v>5</v>
      </c>
      <c r="M10" s="71">
        <f t="shared" si="9"/>
        <v>18</v>
      </c>
      <c r="N10" s="71">
        <f t="shared" si="10"/>
        <v>5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1</v>
      </c>
      <c r="X10" s="136">
        <v>0</v>
      </c>
      <c r="Y10" s="136">
        <v>8</v>
      </c>
      <c r="Z10" s="136">
        <v>0</v>
      </c>
      <c r="AA10" s="71">
        <f t="shared" si="5"/>
        <v>9</v>
      </c>
      <c r="AB10" s="71">
        <f t="shared" si="6"/>
        <v>0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27</v>
      </c>
      <c r="AI10" s="135">
        <v>27</v>
      </c>
    </row>
    <row r="11" spans="1:35" s="135" customFormat="1" x14ac:dyDescent="0.25">
      <c r="A11" s="139">
        <v>28</v>
      </c>
      <c r="B11" s="199"/>
      <c r="C11" s="200">
        <f t="shared" si="8"/>
        <v>44021</v>
      </c>
      <c r="D11" s="133" t="s">
        <v>35</v>
      </c>
      <c r="E11" s="200">
        <f t="shared" si="0"/>
        <v>44027</v>
      </c>
      <c r="F11" s="199"/>
      <c r="G11" s="136">
        <v>5</v>
      </c>
      <c r="H11" s="136"/>
      <c r="I11" s="136">
        <v>5</v>
      </c>
      <c r="J11" s="136">
        <v>0</v>
      </c>
      <c r="K11" s="136">
        <v>15</v>
      </c>
      <c r="L11" s="136">
        <v>4</v>
      </c>
      <c r="M11" s="71">
        <f t="shared" si="9"/>
        <v>20</v>
      </c>
      <c r="N11" s="71">
        <f t="shared" si="10"/>
        <v>4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2</v>
      </c>
      <c r="Z11" s="136">
        <v>0</v>
      </c>
      <c r="AA11" s="71">
        <f t="shared" si="5"/>
        <v>2</v>
      </c>
      <c r="AB11" s="71">
        <f t="shared" si="6"/>
        <v>0</v>
      </c>
      <c r="AC11" s="136"/>
      <c r="AD11" s="136">
        <v>0</v>
      </c>
      <c r="AE11" s="136">
        <v>0</v>
      </c>
      <c r="AF11" s="71">
        <f t="shared" si="13"/>
        <v>0</v>
      </c>
      <c r="AH11" s="133">
        <f t="shared" si="14"/>
        <v>22</v>
      </c>
      <c r="AI11" s="135">
        <v>28</v>
      </c>
    </row>
    <row r="12" spans="1:35" s="132" customFormat="1" x14ac:dyDescent="0.25">
      <c r="A12" s="139">
        <v>29</v>
      </c>
      <c r="B12" s="131"/>
      <c r="C12" s="200">
        <f t="shared" si="8"/>
        <v>44028</v>
      </c>
      <c r="D12" s="133" t="s">
        <v>35</v>
      </c>
      <c r="E12" s="200">
        <f t="shared" si="0"/>
        <v>44034</v>
      </c>
      <c r="F12" s="131"/>
      <c r="G12" s="136">
        <v>5</v>
      </c>
      <c r="H12" s="136"/>
      <c r="I12" s="136">
        <v>4</v>
      </c>
      <c r="J12" s="136">
        <v>0</v>
      </c>
      <c r="K12" s="136">
        <v>52</v>
      </c>
      <c r="L12" s="136">
        <v>7</v>
      </c>
      <c r="M12" s="71">
        <f t="shared" si="1"/>
        <v>56</v>
      </c>
      <c r="N12" s="71">
        <f t="shared" si="2"/>
        <v>7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2</v>
      </c>
      <c r="Z12" s="136">
        <v>0</v>
      </c>
      <c r="AA12" s="71">
        <f t="shared" si="5"/>
        <v>2</v>
      </c>
      <c r="AB12" s="71">
        <f t="shared" si="6"/>
        <v>0</v>
      </c>
      <c r="AC12" s="71"/>
      <c r="AD12" s="136">
        <v>0</v>
      </c>
      <c r="AE12" s="136">
        <v>0</v>
      </c>
      <c r="AF12" s="71">
        <f t="shared" si="13"/>
        <v>0</v>
      </c>
      <c r="AH12" s="133">
        <f t="shared" si="14"/>
        <v>58</v>
      </c>
      <c r="AI12" s="135">
        <v>29</v>
      </c>
    </row>
    <row r="13" spans="1:35" s="132" customFormat="1" x14ac:dyDescent="0.25">
      <c r="A13" s="139">
        <v>30</v>
      </c>
      <c r="B13" s="131"/>
      <c r="C13" s="200">
        <f>C12+7</f>
        <v>44035</v>
      </c>
      <c r="D13" s="133" t="s">
        <v>35</v>
      </c>
      <c r="E13" s="200">
        <f>C13+6</f>
        <v>44041</v>
      </c>
      <c r="F13" s="131"/>
      <c r="G13" s="136">
        <v>5</v>
      </c>
      <c r="H13" s="136"/>
      <c r="I13" s="136">
        <v>89</v>
      </c>
      <c r="J13" s="136">
        <v>2</v>
      </c>
      <c r="K13" s="136">
        <v>239</v>
      </c>
      <c r="L13" s="136">
        <v>49</v>
      </c>
      <c r="M13" s="71">
        <f t="shared" ref="M13:N17" si="15">K13+I13</f>
        <v>328</v>
      </c>
      <c r="N13" s="71">
        <f t="shared" si="15"/>
        <v>51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13</v>
      </c>
      <c r="Z13" s="136">
        <v>2</v>
      </c>
      <c r="AA13" s="71">
        <f t="shared" si="5"/>
        <v>13</v>
      </c>
      <c r="AB13" s="71">
        <f t="shared" si="6"/>
        <v>2</v>
      </c>
      <c r="AC13" s="71"/>
      <c r="AD13" s="136">
        <v>0</v>
      </c>
      <c r="AE13" s="136">
        <v>0</v>
      </c>
      <c r="AF13" s="71">
        <f t="shared" si="13"/>
        <v>0</v>
      </c>
      <c r="AH13" s="133">
        <f t="shared" si="14"/>
        <v>341</v>
      </c>
      <c r="AI13" s="135">
        <v>30</v>
      </c>
    </row>
    <row r="14" spans="1:35" s="135" customFormat="1" x14ac:dyDescent="0.25">
      <c r="A14" s="139">
        <v>31</v>
      </c>
      <c r="B14" s="133"/>
      <c r="C14" s="200">
        <f t="shared" ref="C14" si="17">C13+7</f>
        <v>44042</v>
      </c>
      <c r="D14" s="133" t="s">
        <v>35</v>
      </c>
      <c r="E14" s="200">
        <f t="shared" ref="E14:E19" si="18">E13+7</f>
        <v>44048</v>
      </c>
      <c r="F14" s="133"/>
      <c r="G14" s="136">
        <v>5</v>
      </c>
      <c r="H14" s="136"/>
      <c r="I14" s="208">
        <v>19</v>
      </c>
      <c r="J14" s="208">
        <v>0</v>
      </c>
      <c r="K14" s="208">
        <v>60</v>
      </c>
      <c r="L14" s="208">
        <v>16</v>
      </c>
      <c r="M14" s="71">
        <f t="shared" ref="M14" si="19">K14+I14</f>
        <v>79</v>
      </c>
      <c r="N14" s="71">
        <f t="shared" ref="N14" si="20">L14+J14</f>
        <v>16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11</v>
      </c>
      <c r="Z14" s="136">
        <v>1</v>
      </c>
      <c r="AA14" s="71">
        <f t="shared" si="5"/>
        <v>11</v>
      </c>
      <c r="AB14" s="71">
        <f t="shared" si="6"/>
        <v>1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90</v>
      </c>
      <c r="AI14" s="135">
        <v>31</v>
      </c>
    </row>
    <row r="15" spans="1:35" s="135" customFormat="1" x14ac:dyDescent="0.25">
      <c r="A15" s="139">
        <v>32</v>
      </c>
      <c r="B15" s="133"/>
      <c r="C15" s="200">
        <f t="shared" ref="C15:C19" si="23">C14+7</f>
        <v>44049</v>
      </c>
      <c r="D15" s="133" t="s">
        <v>35</v>
      </c>
      <c r="E15" s="200">
        <f t="shared" si="18"/>
        <v>44055</v>
      </c>
      <c r="F15" s="133"/>
      <c r="G15" s="136">
        <v>0</v>
      </c>
      <c r="H15" s="136"/>
      <c r="I15" s="136">
        <v>0</v>
      </c>
      <c r="J15" s="136">
        <v>0</v>
      </c>
      <c r="K15" s="136">
        <v>0</v>
      </c>
      <c r="L15" s="136">
        <v>0</v>
      </c>
      <c r="M15" s="71">
        <f t="shared" si="15"/>
        <v>0</v>
      </c>
      <c r="N15" s="71">
        <f t="shared" si="15"/>
        <v>0</v>
      </c>
      <c r="O15" s="71"/>
      <c r="P15" s="136">
        <v>0</v>
      </c>
      <c r="Q15" s="136">
        <v>0</v>
      </c>
      <c r="R15" s="136">
        <v>0</v>
      </c>
      <c r="S15" s="136">
        <v>0</v>
      </c>
      <c r="T15" s="71">
        <f t="shared" si="16"/>
        <v>0</v>
      </c>
      <c r="U15" s="71">
        <f t="shared" si="16"/>
        <v>0</v>
      </c>
      <c r="V15" s="71"/>
      <c r="W15" s="136">
        <v>0</v>
      </c>
      <c r="X15" s="136">
        <v>0</v>
      </c>
      <c r="Y15" s="136">
        <v>0</v>
      </c>
      <c r="Z15" s="136">
        <v>0</v>
      </c>
      <c r="AA15" s="71">
        <f t="shared" si="5"/>
        <v>0</v>
      </c>
      <c r="AB15" s="71">
        <f t="shared" si="6"/>
        <v>0</v>
      </c>
      <c r="AC15" s="71"/>
      <c r="AD15" s="136">
        <v>0</v>
      </c>
      <c r="AE15" s="136">
        <v>0</v>
      </c>
      <c r="AF15" s="71">
        <f t="shared" si="13"/>
        <v>0</v>
      </c>
      <c r="AH15" s="133">
        <f t="shared" si="14"/>
        <v>0</v>
      </c>
      <c r="AI15" s="135">
        <v>32</v>
      </c>
    </row>
    <row r="16" spans="1:35" s="135" customFormat="1" x14ac:dyDescent="0.25">
      <c r="A16" s="139">
        <v>33</v>
      </c>
      <c r="B16" s="133"/>
      <c r="C16" s="200">
        <f t="shared" si="23"/>
        <v>44056</v>
      </c>
      <c r="D16" s="133" t="s">
        <v>35</v>
      </c>
      <c r="E16" s="200">
        <f t="shared" si="18"/>
        <v>44062</v>
      </c>
      <c r="F16" s="133"/>
      <c r="G16" s="136">
        <v>0</v>
      </c>
      <c r="H16" s="136"/>
      <c r="I16" s="136">
        <v>0</v>
      </c>
      <c r="J16" s="136">
        <v>0</v>
      </c>
      <c r="K16" s="136">
        <v>0</v>
      </c>
      <c r="L16" s="136">
        <v>0</v>
      </c>
      <c r="M16" s="71">
        <f t="shared" si="15"/>
        <v>0</v>
      </c>
      <c r="N16" s="71">
        <f t="shared" si="15"/>
        <v>0</v>
      </c>
      <c r="O16" s="71"/>
      <c r="P16" s="136">
        <v>0</v>
      </c>
      <c r="Q16" s="136">
        <v>0</v>
      </c>
      <c r="R16" s="136">
        <v>0</v>
      </c>
      <c r="S16" s="136">
        <v>0</v>
      </c>
      <c r="T16" s="71">
        <f t="shared" si="16"/>
        <v>0</v>
      </c>
      <c r="U16" s="71">
        <f t="shared" si="16"/>
        <v>0</v>
      </c>
      <c r="V16" s="71"/>
      <c r="W16" s="136">
        <v>0</v>
      </c>
      <c r="X16" s="136">
        <v>0</v>
      </c>
      <c r="Y16" s="136">
        <v>0</v>
      </c>
      <c r="Z16" s="136">
        <v>0</v>
      </c>
      <c r="AA16" s="71">
        <f t="shared" si="5"/>
        <v>0</v>
      </c>
      <c r="AB16" s="71">
        <f t="shared" si="6"/>
        <v>0</v>
      </c>
      <c r="AC16" s="71"/>
      <c r="AD16" s="136">
        <v>0</v>
      </c>
      <c r="AE16" s="136">
        <v>0</v>
      </c>
      <c r="AF16" s="71">
        <f t="shared" si="13"/>
        <v>0</v>
      </c>
      <c r="AH16" s="133">
        <f t="shared" si="14"/>
        <v>0</v>
      </c>
      <c r="AI16" s="135">
        <v>33</v>
      </c>
    </row>
    <row r="17" spans="1:36" s="135" customFormat="1" x14ac:dyDescent="0.25">
      <c r="A17" s="139">
        <v>34</v>
      </c>
      <c r="B17" s="133"/>
      <c r="C17" s="200">
        <f t="shared" si="23"/>
        <v>44063</v>
      </c>
      <c r="D17" s="133" t="s">
        <v>35</v>
      </c>
      <c r="E17" s="200">
        <f t="shared" si="18"/>
        <v>44069</v>
      </c>
      <c r="F17" s="133"/>
      <c r="G17" s="136">
        <v>0</v>
      </c>
      <c r="H17" s="136"/>
      <c r="I17" s="136">
        <v>0</v>
      </c>
      <c r="J17" s="136">
        <v>0</v>
      </c>
      <c r="K17" s="136">
        <v>0</v>
      </c>
      <c r="L17" s="136">
        <v>0</v>
      </c>
      <c r="M17" s="71">
        <f t="shared" si="15"/>
        <v>0</v>
      </c>
      <c r="N17" s="71">
        <f t="shared" si="15"/>
        <v>0</v>
      </c>
      <c r="O17" s="71"/>
      <c r="P17" s="136">
        <v>0</v>
      </c>
      <c r="Q17" s="136">
        <v>0</v>
      </c>
      <c r="R17" s="136">
        <v>0</v>
      </c>
      <c r="S17" s="136">
        <v>0</v>
      </c>
      <c r="T17" s="71">
        <f t="shared" si="16"/>
        <v>0</v>
      </c>
      <c r="U17" s="71">
        <f t="shared" si="16"/>
        <v>0</v>
      </c>
      <c r="V17" s="71"/>
      <c r="W17" s="136">
        <v>0</v>
      </c>
      <c r="X17" s="136">
        <v>0</v>
      </c>
      <c r="Y17" s="136">
        <v>0</v>
      </c>
      <c r="Z17" s="136">
        <v>0</v>
      </c>
      <c r="AA17" s="71">
        <f t="shared" si="5"/>
        <v>0</v>
      </c>
      <c r="AB17" s="71">
        <f t="shared" si="6"/>
        <v>0</v>
      </c>
      <c r="AC17" s="71"/>
      <c r="AD17" s="136">
        <v>0</v>
      </c>
      <c r="AE17" s="136">
        <v>0</v>
      </c>
      <c r="AF17" s="71">
        <f t="shared" si="13"/>
        <v>0</v>
      </c>
      <c r="AH17" s="133">
        <f t="shared" si="14"/>
        <v>0</v>
      </c>
      <c r="AI17" s="135">
        <v>34</v>
      </c>
    </row>
    <row r="18" spans="1:36" s="135" customFormat="1" x14ac:dyDescent="0.25">
      <c r="A18" s="139">
        <v>35</v>
      </c>
      <c r="B18" s="133"/>
      <c r="C18" s="200">
        <f t="shared" si="23"/>
        <v>44070</v>
      </c>
      <c r="D18" s="133" t="s">
        <v>35</v>
      </c>
      <c r="E18" s="200">
        <f t="shared" si="18"/>
        <v>44076</v>
      </c>
      <c r="F18" s="133"/>
      <c r="G18" s="136">
        <v>5</v>
      </c>
      <c r="H18" s="136"/>
      <c r="I18" s="136">
        <v>10</v>
      </c>
      <c r="J18" s="136">
        <v>0</v>
      </c>
      <c r="K18" s="136">
        <v>20</v>
      </c>
      <c r="L18" s="136">
        <v>1</v>
      </c>
      <c r="M18" s="71">
        <f t="shared" ref="M18:M25" si="24">K18+I18</f>
        <v>30</v>
      </c>
      <c r="N18" s="71">
        <f t="shared" ref="N18:N25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5" si="26">P18+R18</f>
        <v>0</v>
      </c>
      <c r="U18" s="71">
        <f t="shared" ref="U18:U25" si="27">Q18+S18</f>
        <v>0</v>
      </c>
      <c r="V18" s="71"/>
      <c r="W18" s="136">
        <v>0</v>
      </c>
      <c r="X18" s="136">
        <v>0</v>
      </c>
      <c r="Y18" s="136">
        <v>4</v>
      </c>
      <c r="Z18" s="136">
        <v>1</v>
      </c>
      <c r="AA18" s="71">
        <f t="shared" ref="AA18:AA25" si="28">Y18+W18</f>
        <v>4</v>
      </c>
      <c r="AB18" s="71">
        <f t="shared" ref="AB18:AB25" si="29">Z18+X18</f>
        <v>1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34</v>
      </c>
      <c r="AI18" s="135">
        <v>35</v>
      </c>
    </row>
    <row r="19" spans="1:36" s="135" customFormat="1" x14ac:dyDescent="0.25">
      <c r="A19" s="139">
        <v>36</v>
      </c>
      <c r="B19" s="133"/>
      <c r="C19" s="200">
        <f t="shared" si="23"/>
        <v>44077</v>
      </c>
      <c r="D19" s="133" t="s">
        <v>35</v>
      </c>
      <c r="E19" s="200">
        <f t="shared" si="18"/>
        <v>44083</v>
      </c>
      <c r="F19" s="133"/>
      <c r="G19" s="136">
        <v>0</v>
      </c>
      <c r="H19" s="136"/>
      <c r="I19" s="136">
        <v>0</v>
      </c>
      <c r="J19" s="136">
        <v>0</v>
      </c>
      <c r="K19" s="136">
        <v>0</v>
      </c>
      <c r="L19" s="136">
        <v>0</v>
      </c>
      <c r="M19" s="71">
        <f t="shared" si="24"/>
        <v>0</v>
      </c>
      <c r="N19" s="71">
        <f t="shared" si="25"/>
        <v>0</v>
      </c>
      <c r="O19" s="71"/>
      <c r="P19" s="136">
        <v>0</v>
      </c>
      <c r="Q19" s="136">
        <v>0</v>
      </c>
      <c r="R19" s="136">
        <v>0</v>
      </c>
      <c r="S19" s="136">
        <v>0</v>
      </c>
      <c r="T19" s="71">
        <f t="shared" si="26"/>
        <v>0</v>
      </c>
      <c r="U19" s="71">
        <f t="shared" si="27"/>
        <v>0</v>
      </c>
      <c r="V19" s="71"/>
      <c r="W19" s="136">
        <v>0</v>
      </c>
      <c r="X19" s="136">
        <v>0</v>
      </c>
      <c r="Y19" s="136">
        <v>0</v>
      </c>
      <c r="Z19" s="136">
        <v>0</v>
      </c>
      <c r="AA19" s="71">
        <f t="shared" si="28"/>
        <v>0</v>
      </c>
      <c r="AB19" s="71">
        <f t="shared" si="29"/>
        <v>0</v>
      </c>
      <c r="AC19" s="71"/>
      <c r="AD19" s="136">
        <v>0</v>
      </c>
      <c r="AE19" s="136">
        <v>0</v>
      </c>
      <c r="AF19" s="71">
        <f t="shared" si="13"/>
        <v>0</v>
      </c>
      <c r="AH19" s="133">
        <f t="shared" si="14"/>
        <v>0</v>
      </c>
      <c r="AI19" s="135">
        <v>36</v>
      </c>
    </row>
    <row r="20" spans="1:36" s="135" customFormat="1" x14ac:dyDescent="0.25">
      <c r="A20" s="139">
        <v>37</v>
      </c>
      <c r="B20" s="133"/>
      <c r="C20" s="200">
        <f>C19+7</f>
        <v>44084</v>
      </c>
      <c r="D20" s="133" t="s">
        <v>35</v>
      </c>
      <c r="E20" s="200">
        <f>E19+7</f>
        <v>44090</v>
      </c>
      <c r="F20" s="133"/>
      <c r="G20" s="136">
        <v>0</v>
      </c>
      <c r="H20" s="136"/>
      <c r="I20" s="136">
        <v>0</v>
      </c>
      <c r="J20" s="136">
        <v>0</v>
      </c>
      <c r="K20" s="136">
        <v>0</v>
      </c>
      <c r="L20" s="136">
        <v>0</v>
      </c>
      <c r="M20" s="71">
        <f t="shared" si="24"/>
        <v>0</v>
      </c>
      <c r="N20" s="71">
        <f t="shared" si="25"/>
        <v>0</v>
      </c>
      <c r="O20" s="71"/>
      <c r="P20" s="136">
        <v>0</v>
      </c>
      <c r="Q20" s="136">
        <v>0</v>
      </c>
      <c r="R20" s="136">
        <v>0</v>
      </c>
      <c r="S20" s="136">
        <v>0</v>
      </c>
      <c r="T20" s="71">
        <f t="shared" si="26"/>
        <v>0</v>
      </c>
      <c r="U20" s="71">
        <f t="shared" si="27"/>
        <v>0</v>
      </c>
      <c r="V20" s="71"/>
      <c r="W20" s="136">
        <v>0</v>
      </c>
      <c r="X20" s="136">
        <v>0</v>
      </c>
      <c r="Y20" s="136">
        <v>0</v>
      </c>
      <c r="Z20" s="136">
        <v>0</v>
      </c>
      <c r="AA20" s="71">
        <f t="shared" si="28"/>
        <v>0</v>
      </c>
      <c r="AB20" s="71">
        <f t="shared" si="29"/>
        <v>0</v>
      </c>
      <c r="AC20" s="71"/>
      <c r="AD20" s="136">
        <v>0</v>
      </c>
      <c r="AE20" s="136">
        <v>0</v>
      </c>
      <c r="AF20" s="71">
        <f t="shared" si="13"/>
        <v>0</v>
      </c>
      <c r="AH20" s="133">
        <f t="shared" ref="AH20:AH33" si="30">AF20+AA20+T20+M20</f>
        <v>0</v>
      </c>
      <c r="AI20" s="135">
        <v>37</v>
      </c>
      <c r="AJ20" s="135" t="s">
        <v>134</v>
      </c>
    </row>
    <row r="21" spans="1:36" s="135" customFormat="1" x14ac:dyDescent="0.25">
      <c r="A21" s="139">
        <v>38</v>
      </c>
      <c r="B21" s="133"/>
      <c r="C21" s="200">
        <f t="shared" ref="C21:C33" si="31">C20+7</f>
        <v>44091</v>
      </c>
      <c r="D21" s="133" t="s">
        <v>35</v>
      </c>
      <c r="E21" s="200">
        <f t="shared" ref="E21:E33" si="32">E20+7</f>
        <v>44097</v>
      </c>
      <c r="F21" s="133"/>
      <c r="G21" s="136">
        <v>2</v>
      </c>
      <c r="H21" s="136"/>
      <c r="I21" s="136">
        <v>7</v>
      </c>
      <c r="J21" s="136">
        <v>0</v>
      </c>
      <c r="K21" s="136">
        <v>55</v>
      </c>
      <c r="L21" s="136">
        <v>9</v>
      </c>
      <c r="M21" s="71">
        <f t="shared" si="24"/>
        <v>62</v>
      </c>
      <c r="N21" s="71">
        <f t="shared" si="25"/>
        <v>9</v>
      </c>
      <c r="O21" s="71"/>
      <c r="P21" s="136">
        <v>0</v>
      </c>
      <c r="Q21" s="136">
        <v>0</v>
      </c>
      <c r="R21" s="136">
        <v>0</v>
      </c>
      <c r="S21" s="136">
        <v>0</v>
      </c>
      <c r="T21" s="71">
        <f t="shared" si="26"/>
        <v>0</v>
      </c>
      <c r="U21" s="71">
        <f t="shared" si="27"/>
        <v>0</v>
      </c>
      <c r="V21" s="71"/>
      <c r="W21" s="136">
        <v>0</v>
      </c>
      <c r="X21" s="136">
        <v>0</v>
      </c>
      <c r="Y21" s="136">
        <v>3</v>
      </c>
      <c r="Z21" s="136">
        <v>2</v>
      </c>
      <c r="AA21" s="71">
        <f t="shared" si="28"/>
        <v>3</v>
      </c>
      <c r="AB21" s="71">
        <f t="shared" si="29"/>
        <v>2</v>
      </c>
      <c r="AC21" s="71"/>
      <c r="AD21" s="136">
        <v>0</v>
      </c>
      <c r="AE21" s="136">
        <v>0</v>
      </c>
      <c r="AF21" s="71">
        <f t="shared" si="13"/>
        <v>0</v>
      </c>
      <c r="AH21" s="133">
        <f t="shared" si="30"/>
        <v>65</v>
      </c>
      <c r="AI21" s="135">
        <v>38</v>
      </c>
    </row>
    <row r="22" spans="1:36" s="135" customFormat="1" x14ac:dyDescent="0.25">
      <c r="A22" s="139">
        <v>39</v>
      </c>
      <c r="B22" s="133"/>
      <c r="C22" s="200">
        <f t="shared" si="31"/>
        <v>44098</v>
      </c>
      <c r="D22" s="133" t="s">
        <v>35</v>
      </c>
      <c r="E22" s="200">
        <f t="shared" si="32"/>
        <v>44104</v>
      </c>
      <c r="F22" s="133"/>
      <c r="G22" s="136">
        <v>5</v>
      </c>
      <c r="H22" s="136"/>
      <c r="I22" s="136">
        <v>11</v>
      </c>
      <c r="J22" s="136">
        <v>1</v>
      </c>
      <c r="K22" s="136">
        <v>126</v>
      </c>
      <c r="L22" s="136">
        <v>24</v>
      </c>
      <c r="M22" s="71">
        <f t="shared" si="24"/>
        <v>137</v>
      </c>
      <c r="N22" s="71">
        <f t="shared" si="25"/>
        <v>25</v>
      </c>
      <c r="O22" s="71"/>
      <c r="P22" s="136">
        <v>0</v>
      </c>
      <c r="Q22" s="136">
        <v>0</v>
      </c>
      <c r="R22" s="136">
        <v>0</v>
      </c>
      <c r="S22" s="136">
        <v>0</v>
      </c>
      <c r="T22" s="71">
        <f t="shared" si="26"/>
        <v>0</v>
      </c>
      <c r="U22" s="71">
        <f t="shared" si="27"/>
        <v>0</v>
      </c>
      <c r="V22" s="71"/>
      <c r="W22" s="136">
        <v>0</v>
      </c>
      <c r="X22" s="136">
        <v>0</v>
      </c>
      <c r="Y22" s="136">
        <v>7</v>
      </c>
      <c r="Z22" s="136">
        <v>2</v>
      </c>
      <c r="AA22" s="71">
        <f t="shared" si="28"/>
        <v>7</v>
      </c>
      <c r="AB22" s="71">
        <f t="shared" si="29"/>
        <v>2</v>
      </c>
      <c r="AC22" s="71"/>
      <c r="AD22" s="136">
        <v>0</v>
      </c>
      <c r="AE22" s="136">
        <v>0</v>
      </c>
      <c r="AF22" s="71">
        <f t="shared" si="13"/>
        <v>0</v>
      </c>
      <c r="AH22" s="133">
        <f t="shared" si="30"/>
        <v>144</v>
      </c>
      <c r="AI22" s="135">
        <v>39</v>
      </c>
    </row>
    <row r="23" spans="1:36" s="135" customFormat="1" x14ac:dyDescent="0.25">
      <c r="A23" s="139">
        <v>40</v>
      </c>
      <c r="B23" s="133"/>
      <c r="C23" s="200">
        <f t="shared" si="31"/>
        <v>44105</v>
      </c>
      <c r="D23" s="133" t="s">
        <v>35</v>
      </c>
      <c r="E23" s="200">
        <f t="shared" si="32"/>
        <v>44111</v>
      </c>
      <c r="F23" s="133"/>
      <c r="G23" s="136">
        <v>5</v>
      </c>
      <c r="H23" s="136"/>
      <c r="I23" s="136">
        <v>18</v>
      </c>
      <c r="J23" s="136">
        <v>0</v>
      </c>
      <c r="K23" s="136">
        <v>237</v>
      </c>
      <c r="L23" s="136">
        <v>42</v>
      </c>
      <c r="M23" s="71">
        <f t="shared" ref="M23:M24" si="33">K23+I23</f>
        <v>255</v>
      </c>
      <c r="N23" s="71">
        <f t="shared" ref="N23:N24" si="34">L23+J23</f>
        <v>42</v>
      </c>
      <c r="O23" s="71"/>
      <c r="P23" s="136">
        <v>2</v>
      </c>
      <c r="Q23" s="136">
        <v>2</v>
      </c>
      <c r="R23" s="136">
        <v>11</v>
      </c>
      <c r="S23" s="136">
        <v>11</v>
      </c>
      <c r="T23" s="71">
        <f t="shared" ref="T23:T24" si="35">P23+R23</f>
        <v>13</v>
      </c>
      <c r="U23" s="71">
        <f t="shared" ref="U23:U24" si="36">Q23+S23</f>
        <v>13</v>
      </c>
      <c r="V23" s="71"/>
      <c r="W23" s="136">
        <v>0</v>
      </c>
      <c r="X23" s="136">
        <v>0</v>
      </c>
      <c r="Y23" s="136">
        <v>27</v>
      </c>
      <c r="Z23" s="136">
        <v>18</v>
      </c>
      <c r="AA23" s="71">
        <f t="shared" ref="AA23:AA24" si="37">Y23+W23</f>
        <v>27</v>
      </c>
      <c r="AB23" s="71">
        <f t="shared" ref="AB23:AB24" si="38">Z23+X23</f>
        <v>18</v>
      </c>
      <c r="AC23" s="71"/>
      <c r="AD23" s="136">
        <v>0</v>
      </c>
      <c r="AE23" s="136">
        <v>0</v>
      </c>
      <c r="AF23" s="71">
        <f t="shared" ref="AF23:AF33" si="39">SUM(AD23:AE23)</f>
        <v>0</v>
      </c>
      <c r="AH23" s="133">
        <f t="shared" si="30"/>
        <v>295</v>
      </c>
      <c r="AI23" s="135">
        <v>40</v>
      </c>
    </row>
    <row r="24" spans="1:36" s="135" customFormat="1" x14ac:dyDescent="0.25">
      <c r="A24" s="139">
        <v>41</v>
      </c>
      <c r="B24" s="133"/>
      <c r="C24" s="200">
        <f t="shared" si="31"/>
        <v>44112</v>
      </c>
      <c r="D24" s="133" t="s">
        <v>35</v>
      </c>
      <c r="E24" s="200">
        <f t="shared" si="32"/>
        <v>44118</v>
      </c>
      <c r="F24" s="133"/>
      <c r="G24" s="136"/>
      <c r="H24" s="136"/>
      <c r="I24" s="136"/>
      <c r="J24" s="136"/>
      <c r="K24" s="136"/>
      <c r="L24" s="136"/>
      <c r="M24" s="71">
        <f t="shared" si="33"/>
        <v>0</v>
      </c>
      <c r="N24" s="71">
        <f t="shared" si="34"/>
        <v>0</v>
      </c>
      <c r="O24" s="71"/>
      <c r="P24" s="136"/>
      <c r="Q24" s="136"/>
      <c r="R24" s="136"/>
      <c r="S24" s="136"/>
      <c r="T24" s="71">
        <f t="shared" si="35"/>
        <v>0</v>
      </c>
      <c r="U24" s="71">
        <f t="shared" si="36"/>
        <v>0</v>
      </c>
      <c r="V24" s="71"/>
      <c r="W24" s="136"/>
      <c r="X24" s="136"/>
      <c r="Y24" s="136"/>
      <c r="Z24" s="136"/>
      <c r="AA24" s="71">
        <f t="shared" ref="AA24:AA33" si="40">Y24+W24</f>
        <v>0</v>
      </c>
      <c r="AB24" s="71">
        <f t="shared" ref="AB24:AB33" si="41">Z24+X24</f>
        <v>0</v>
      </c>
      <c r="AC24" s="71"/>
      <c r="AD24" s="136"/>
      <c r="AE24" s="136"/>
      <c r="AF24" s="71">
        <f t="shared" si="39"/>
        <v>0</v>
      </c>
      <c r="AH24" s="133">
        <f t="shared" si="30"/>
        <v>0</v>
      </c>
      <c r="AI24" s="135">
        <v>41</v>
      </c>
    </row>
    <row r="25" spans="1:36" s="135" customFormat="1" x14ac:dyDescent="0.25">
      <c r="A25" s="139">
        <v>42</v>
      </c>
      <c r="B25" s="133"/>
      <c r="C25" s="200">
        <f t="shared" si="31"/>
        <v>44119</v>
      </c>
      <c r="D25" s="133" t="s">
        <v>35</v>
      </c>
      <c r="E25" s="200">
        <f t="shared" si="32"/>
        <v>44125</v>
      </c>
      <c r="F25" s="133"/>
      <c r="G25" s="136"/>
      <c r="H25" s="136"/>
      <c r="I25" s="136"/>
      <c r="J25" s="136"/>
      <c r="K25" s="136"/>
      <c r="L25" s="136"/>
      <c r="M25" s="71">
        <f t="shared" ref="M25:M33" si="42">K25+I25</f>
        <v>0</v>
      </c>
      <c r="N25" s="71">
        <f t="shared" ref="N25:N33" si="43">L25+J25</f>
        <v>0</v>
      </c>
      <c r="O25" s="71"/>
      <c r="P25" s="136"/>
      <c r="Q25" s="136"/>
      <c r="R25" s="136"/>
      <c r="S25" s="136"/>
      <c r="T25" s="71">
        <f t="shared" ref="T25:T33" si="44">P25+R25</f>
        <v>0</v>
      </c>
      <c r="U25" s="71">
        <f t="shared" ref="U25:U33" si="45">Q25+S25</f>
        <v>0</v>
      </c>
      <c r="V25" s="71"/>
      <c r="W25" s="136"/>
      <c r="X25" s="136"/>
      <c r="Y25" s="136"/>
      <c r="Z25" s="136"/>
      <c r="AA25" s="71">
        <f t="shared" si="40"/>
        <v>0</v>
      </c>
      <c r="AB25" s="71">
        <f t="shared" si="41"/>
        <v>0</v>
      </c>
      <c r="AC25" s="71"/>
      <c r="AD25" s="136"/>
      <c r="AE25" s="136"/>
      <c r="AF25" s="71">
        <f t="shared" si="39"/>
        <v>0</v>
      </c>
      <c r="AH25" s="133">
        <f t="shared" si="30"/>
        <v>0</v>
      </c>
      <c r="AI25" s="135">
        <v>42</v>
      </c>
    </row>
    <row r="26" spans="1:36" s="135" customFormat="1" x14ac:dyDescent="0.25">
      <c r="A26" s="139">
        <v>43</v>
      </c>
      <c r="B26" s="133"/>
      <c r="C26" s="200">
        <f t="shared" si="31"/>
        <v>44126</v>
      </c>
      <c r="D26" s="133" t="s">
        <v>35</v>
      </c>
      <c r="E26" s="200">
        <f t="shared" si="32"/>
        <v>44132</v>
      </c>
      <c r="F26" s="133"/>
      <c r="G26" s="136"/>
      <c r="H26" s="136"/>
      <c r="I26" s="136"/>
      <c r="J26" s="136"/>
      <c r="K26" s="136"/>
      <c r="L26" s="136"/>
      <c r="M26" s="71">
        <f t="shared" si="42"/>
        <v>0</v>
      </c>
      <c r="N26" s="71">
        <f t="shared" si="43"/>
        <v>0</v>
      </c>
      <c r="O26" s="71"/>
      <c r="P26" s="136"/>
      <c r="Q26" s="136"/>
      <c r="R26" s="136"/>
      <c r="S26" s="136"/>
      <c r="T26" s="71">
        <f t="shared" si="44"/>
        <v>0</v>
      </c>
      <c r="U26" s="71">
        <f t="shared" si="45"/>
        <v>0</v>
      </c>
      <c r="V26" s="71"/>
      <c r="W26" s="136"/>
      <c r="X26" s="136"/>
      <c r="Y26" s="136"/>
      <c r="Z26" s="136"/>
      <c r="AA26" s="71">
        <f t="shared" si="40"/>
        <v>0</v>
      </c>
      <c r="AB26" s="71">
        <f t="shared" si="41"/>
        <v>0</v>
      </c>
      <c r="AC26" s="71"/>
      <c r="AD26" s="136"/>
      <c r="AE26" s="136"/>
      <c r="AF26" s="71">
        <f t="shared" si="39"/>
        <v>0</v>
      </c>
      <c r="AH26" s="133">
        <f t="shared" si="30"/>
        <v>0</v>
      </c>
      <c r="AI26" s="135">
        <v>43</v>
      </c>
    </row>
    <row r="27" spans="1:36" s="135" customFormat="1" x14ac:dyDescent="0.25">
      <c r="A27" s="139">
        <v>44</v>
      </c>
      <c r="B27" s="133"/>
      <c r="C27" s="200">
        <f t="shared" si="31"/>
        <v>44133</v>
      </c>
      <c r="D27" s="133" t="s">
        <v>35</v>
      </c>
      <c r="E27" s="200">
        <f t="shared" si="32"/>
        <v>44139</v>
      </c>
      <c r="F27" s="133"/>
      <c r="G27" s="136"/>
      <c r="H27" s="136"/>
      <c r="I27" s="136"/>
      <c r="J27" s="136"/>
      <c r="K27" s="136"/>
      <c r="L27" s="136"/>
      <c r="M27" s="71">
        <f t="shared" si="42"/>
        <v>0</v>
      </c>
      <c r="N27" s="71">
        <f t="shared" si="43"/>
        <v>0</v>
      </c>
      <c r="O27" s="71"/>
      <c r="P27" s="136"/>
      <c r="Q27" s="136"/>
      <c r="R27" s="136"/>
      <c r="S27" s="136"/>
      <c r="T27" s="71">
        <f t="shared" si="44"/>
        <v>0</v>
      </c>
      <c r="U27" s="71">
        <f t="shared" si="45"/>
        <v>0</v>
      </c>
      <c r="V27" s="71"/>
      <c r="W27" s="136"/>
      <c r="X27" s="136"/>
      <c r="Y27" s="136"/>
      <c r="Z27" s="136"/>
      <c r="AA27" s="71">
        <f t="shared" si="40"/>
        <v>0</v>
      </c>
      <c r="AB27" s="71">
        <f t="shared" si="41"/>
        <v>0</v>
      </c>
      <c r="AC27" s="71"/>
      <c r="AD27" s="136"/>
      <c r="AE27" s="136"/>
      <c r="AF27" s="71">
        <f t="shared" si="39"/>
        <v>0</v>
      </c>
      <c r="AH27" s="133">
        <f t="shared" si="30"/>
        <v>0</v>
      </c>
      <c r="AI27" s="135">
        <v>44</v>
      </c>
    </row>
    <row r="28" spans="1:36" s="135" customFormat="1" x14ac:dyDescent="0.25">
      <c r="A28" s="139">
        <v>45</v>
      </c>
      <c r="B28" s="133"/>
      <c r="C28" s="200">
        <f t="shared" si="31"/>
        <v>44140</v>
      </c>
      <c r="D28" s="133" t="s">
        <v>35</v>
      </c>
      <c r="E28" s="200">
        <f t="shared" si="32"/>
        <v>44146</v>
      </c>
      <c r="F28" s="133"/>
      <c r="G28" s="136"/>
      <c r="H28" s="136"/>
      <c r="I28" s="136"/>
      <c r="J28" s="136"/>
      <c r="K28" s="136"/>
      <c r="L28" s="136"/>
      <c r="M28" s="71">
        <f t="shared" si="42"/>
        <v>0</v>
      </c>
      <c r="N28" s="71">
        <f t="shared" si="43"/>
        <v>0</v>
      </c>
      <c r="O28" s="71"/>
      <c r="P28" s="136"/>
      <c r="Q28" s="136"/>
      <c r="R28" s="136"/>
      <c r="S28" s="136"/>
      <c r="T28" s="71">
        <f t="shared" si="44"/>
        <v>0</v>
      </c>
      <c r="U28" s="71">
        <f t="shared" si="45"/>
        <v>0</v>
      </c>
      <c r="V28" s="71"/>
      <c r="W28" s="136"/>
      <c r="X28" s="136"/>
      <c r="Y28" s="136"/>
      <c r="Z28" s="136"/>
      <c r="AA28" s="71">
        <f t="shared" si="40"/>
        <v>0</v>
      </c>
      <c r="AB28" s="71">
        <f t="shared" si="41"/>
        <v>0</v>
      </c>
      <c r="AC28" s="71"/>
      <c r="AD28" s="136"/>
      <c r="AE28" s="136"/>
      <c r="AF28" s="71">
        <f t="shared" si="39"/>
        <v>0</v>
      </c>
      <c r="AH28" s="133">
        <f t="shared" si="30"/>
        <v>0</v>
      </c>
      <c r="AI28" s="135">
        <v>45</v>
      </c>
    </row>
    <row r="29" spans="1:36" s="135" customFormat="1" x14ac:dyDescent="0.25">
      <c r="A29" s="139">
        <v>46</v>
      </c>
      <c r="B29" s="133"/>
      <c r="C29" s="200">
        <f t="shared" si="31"/>
        <v>44147</v>
      </c>
      <c r="D29" s="133" t="s">
        <v>35</v>
      </c>
      <c r="E29" s="200">
        <f t="shared" si="32"/>
        <v>44153</v>
      </c>
      <c r="F29" s="133"/>
      <c r="G29" s="136"/>
      <c r="H29" s="136"/>
      <c r="I29" s="136"/>
      <c r="J29" s="136"/>
      <c r="K29" s="136"/>
      <c r="L29" s="136"/>
      <c r="M29" s="71">
        <f t="shared" si="42"/>
        <v>0</v>
      </c>
      <c r="N29" s="71">
        <f t="shared" si="43"/>
        <v>0</v>
      </c>
      <c r="O29" s="71"/>
      <c r="P29" s="136"/>
      <c r="Q29" s="136"/>
      <c r="R29" s="136"/>
      <c r="S29" s="136"/>
      <c r="T29" s="71">
        <f t="shared" si="44"/>
        <v>0</v>
      </c>
      <c r="U29" s="71">
        <f t="shared" si="45"/>
        <v>0</v>
      </c>
      <c r="V29" s="71"/>
      <c r="W29" s="136"/>
      <c r="X29" s="136"/>
      <c r="Y29" s="136"/>
      <c r="Z29" s="136"/>
      <c r="AA29" s="71">
        <f t="shared" si="40"/>
        <v>0</v>
      </c>
      <c r="AB29" s="71">
        <f t="shared" si="41"/>
        <v>0</v>
      </c>
      <c r="AC29" s="71"/>
      <c r="AD29" s="136"/>
      <c r="AE29" s="136"/>
      <c r="AF29" s="71">
        <f t="shared" si="39"/>
        <v>0</v>
      </c>
      <c r="AH29" s="133">
        <f t="shared" si="30"/>
        <v>0</v>
      </c>
      <c r="AI29" s="135">
        <v>46</v>
      </c>
    </row>
    <row r="30" spans="1:36" s="135" customFormat="1" x14ac:dyDescent="0.25">
      <c r="A30" s="139">
        <v>47</v>
      </c>
      <c r="B30" s="133"/>
      <c r="C30" s="200">
        <f t="shared" si="31"/>
        <v>44154</v>
      </c>
      <c r="D30" s="133" t="s">
        <v>35</v>
      </c>
      <c r="E30" s="200">
        <f t="shared" si="32"/>
        <v>44160</v>
      </c>
      <c r="F30" s="133"/>
      <c r="G30" s="136"/>
      <c r="H30" s="136"/>
      <c r="I30" s="136"/>
      <c r="J30" s="136"/>
      <c r="K30" s="136"/>
      <c r="L30" s="136"/>
      <c r="M30" s="71">
        <f t="shared" si="42"/>
        <v>0</v>
      </c>
      <c r="N30" s="71">
        <f t="shared" si="43"/>
        <v>0</v>
      </c>
      <c r="O30" s="71"/>
      <c r="P30" s="136"/>
      <c r="Q30" s="136"/>
      <c r="R30" s="136"/>
      <c r="S30" s="136"/>
      <c r="T30" s="71">
        <f t="shared" si="44"/>
        <v>0</v>
      </c>
      <c r="U30" s="71">
        <f t="shared" si="45"/>
        <v>0</v>
      </c>
      <c r="V30" s="71"/>
      <c r="W30" s="136"/>
      <c r="X30" s="136"/>
      <c r="Y30" s="136"/>
      <c r="Z30" s="136"/>
      <c r="AA30" s="71">
        <f t="shared" si="40"/>
        <v>0</v>
      </c>
      <c r="AB30" s="71">
        <f t="shared" si="41"/>
        <v>0</v>
      </c>
      <c r="AC30" s="71"/>
      <c r="AD30" s="136"/>
      <c r="AE30" s="136"/>
      <c r="AF30" s="71">
        <f t="shared" si="39"/>
        <v>0</v>
      </c>
      <c r="AH30" s="133">
        <f t="shared" si="30"/>
        <v>0</v>
      </c>
      <c r="AI30" s="135">
        <v>47</v>
      </c>
    </row>
    <row r="31" spans="1:36" s="135" customFormat="1" x14ac:dyDescent="0.25">
      <c r="A31" s="139">
        <v>48</v>
      </c>
      <c r="B31" s="133"/>
      <c r="C31" s="200">
        <f t="shared" si="31"/>
        <v>44161</v>
      </c>
      <c r="D31" s="133" t="s">
        <v>35</v>
      </c>
      <c r="E31" s="200">
        <f t="shared" si="32"/>
        <v>44167</v>
      </c>
      <c r="F31" s="133"/>
      <c r="G31" s="136"/>
      <c r="H31" s="136"/>
      <c r="I31" s="136"/>
      <c r="J31" s="136"/>
      <c r="K31" s="136"/>
      <c r="L31" s="136"/>
      <c r="M31" s="71">
        <f t="shared" si="42"/>
        <v>0</v>
      </c>
      <c r="N31" s="71">
        <f t="shared" si="43"/>
        <v>0</v>
      </c>
      <c r="O31" s="71"/>
      <c r="P31" s="136"/>
      <c r="Q31" s="136"/>
      <c r="R31" s="136"/>
      <c r="S31" s="136"/>
      <c r="T31" s="71">
        <f t="shared" si="44"/>
        <v>0</v>
      </c>
      <c r="U31" s="71">
        <f t="shared" si="45"/>
        <v>0</v>
      </c>
      <c r="V31" s="71"/>
      <c r="W31" s="136"/>
      <c r="X31" s="136"/>
      <c r="Y31" s="136"/>
      <c r="Z31" s="136"/>
      <c r="AA31" s="71">
        <f t="shared" si="40"/>
        <v>0</v>
      </c>
      <c r="AB31" s="71">
        <f t="shared" si="41"/>
        <v>0</v>
      </c>
      <c r="AC31" s="71"/>
      <c r="AD31" s="136"/>
      <c r="AE31" s="136"/>
      <c r="AF31" s="71">
        <f t="shared" si="39"/>
        <v>0</v>
      </c>
      <c r="AH31" s="133">
        <f t="shared" si="30"/>
        <v>0</v>
      </c>
      <c r="AI31" s="135">
        <v>48</v>
      </c>
    </row>
    <row r="32" spans="1:36" s="135" customFormat="1" x14ac:dyDescent="0.25">
      <c r="A32" s="139">
        <v>49</v>
      </c>
      <c r="B32" s="133"/>
      <c r="C32" s="200">
        <f t="shared" si="31"/>
        <v>44168</v>
      </c>
      <c r="D32" s="133" t="s">
        <v>35</v>
      </c>
      <c r="E32" s="200">
        <f t="shared" si="32"/>
        <v>44174</v>
      </c>
      <c r="F32" s="133"/>
      <c r="G32" s="136"/>
      <c r="H32" s="136"/>
      <c r="I32" s="136"/>
      <c r="J32" s="136"/>
      <c r="K32" s="136"/>
      <c r="L32" s="136"/>
      <c r="M32" s="71">
        <f t="shared" si="42"/>
        <v>0</v>
      </c>
      <c r="N32" s="71">
        <f t="shared" si="43"/>
        <v>0</v>
      </c>
      <c r="O32" s="71"/>
      <c r="P32" s="136"/>
      <c r="Q32" s="136"/>
      <c r="R32" s="136"/>
      <c r="S32" s="136"/>
      <c r="T32" s="71">
        <f t="shared" si="44"/>
        <v>0</v>
      </c>
      <c r="U32" s="71">
        <f t="shared" si="45"/>
        <v>0</v>
      </c>
      <c r="V32" s="71"/>
      <c r="W32" s="136"/>
      <c r="X32" s="136"/>
      <c r="Y32" s="136"/>
      <c r="Z32" s="136"/>
      <c r="AA32" s="71">
        <f t="shared" si="40"/>
        <v>0</v>
      </c>
      <c r="AB32" s="71">
        <f t="shared" si="41"/>
        <v>0</v>
      </c>
      <c r="AC32" s="71"/>
      <c r="AD32" s="136"/>
      <c r="AE32" s="136"/>
      <c r="AF32" s="71">
        <f t="shared" si="39"/>
        <v>0</v>
      </c>
      <c r="AH32" s="133">
        <f t="shared" si="30"/>
        <v>0</v>
      </c>
      <c r="AI32" s="135">
        <v>49</v>
      </c>
    </row>
    <row r="33" spans="1:36" s="135" customFormat="1" x14ac:dyDescent="0.25">
      <c r="A33" s="139">
        <v>50</v>
      </c>
      <c r="B33" s="133"/>
      <c r="C33" s="200">
        <f t="shared" si="31"/>
        <v>44175</v>
      </c>
      <c r="D33" s="133" t="s">
        <v>35</v>
      </c>
      <c r="E33" s="200">
        <f t="shared" si="32"/>
        <v>44181</v>
      </c>
      <c r="F33" s="133"/>
      <c r="G33" s="136"/>
      <c r="H33" s="136"/>
      <c r="I33" s="136"/>
      <c r="J33" s="136"/>
      <c r="K33" s="136"/>
      <c r="L33" s="136"/>
      <c r="M33" s="71">
        <f t="shared" si="42"/>
        <v>0</v>
      </c>
      <c r="N33" s="71">
        <f t="shared" si="43"/>
        <v>0</v>
      </c>
      <c r="O33" s="71"/>
      <c r="P33" s="136"/>
      <c r="Q33" s="136"/>
      <c r="R33" s="136"/>
      <c r="S33" s="136"/>
      <c r="T33" s="71">
        <f t="shared" si="44"/>
        <v>0</v>
      </c>
      <c r="U33" s="71">
        <f t="shared" si="45"/>
        <v>0</v>
      </c>
      <c r="V33" s="71"/>
      <c r="W33" s="136"/>
      <c r="X33" s="136"/>
      <c r="Y33" s="136"/>
      <c r="Z33" s="136"/>
      <c r="AA33" s="71">
        <f t="shared" si="40"/>
        <v>0</v>
      </c>
      <c r="AB33" s="71">
        <f t="shared" si="41"/>
        <v>0</v>
      </c>
      <c r="AC33" s="71"/>
      <c r="AD33" s="136"/>
      <c r="AE33" s="136"/>
      <c r="AF33" s="71">
        <f t="shared" si="39"/>
        <v>0</v>
      </c>
      <c r="AH33" s="133">
        <f t="shared" si="30"/>
        <v>0</v>
      </c>
      <c r="AI33" s="135">
        <v>50</v>
      </c>
    </row>
    <row r="34" spans="1:36" s="132" customFormat="1" ht="7.8" customHeight="1" x14ac:dyDescent="0.25">
      <c r="A34" s="139"/>
      <c r="B34" s="133"/>
      <c r="C34" s="200"/>
      <c r="D34" s="203"/>
      <c r="E34" s="200"/>
      <c r="F34" s="133"/>
      <c r="G34" s="71"/>
      <c r="H34" s="71"/>
      <c r="I34" s="71"/>
      <c r="J34" s="71"/>
      <c r="K34" s="71"/>
      <c r="L34" s="71"/>
      <c r="M34" s="71"/>
      <c r="N34" s="71"/>
      <c r="O34" s="136"/>
      <c r="P34" s="136"/>
      <c r="Q34" s="136"/>
      <c r="R34" s="136"/>
      <c r="S34" s="136"/>
      <c r="T34" s="71"/>
      <c r="U34" s="71"/>
      <c r="V34" s="136"/>
      <c r="W34" s="71"/>
      <c r="X34" s="71"/>
      <c r="Y34" s="71"/>
      <c r="Z34" s="71"/>
      <c r="AA34" s="71"/>
      <c r="AB34" s="71"/>
      <c r="AC34" s="136"/>
      <c r="AD34" s="71"/>
      <c r="AE34" s="71"/>
      <c r="AF34" s="136"/>
      <c r="AG34" s="135"/>
      <c r="AH34" s="133"/>
      <c r="AI34" s="135"/>
      <c r="AJ34" s="135"/>
    </row>
    <row r="35" spans="1:36" s="199" customFormat="1" x14ac:dyDescent="0.25">
      <c r="A35" s="139"/>
      <c r="B35" s="139"/>
      <c r="C35" s="143"/>
      <c r="D35" s="144"/>
      <c r="E35" s="145" t="s">
        <v>138</v>
      </c>
      <c r="F35" s="69"/>
      <c r="G35" s="69">
        <f>SUM(G5:G33)</f>
        <v>61</v>
      </c>
      <c r="H35" s="69"/>
      <c r="I35" s="69">
        <f>SUM(I5:I25)</f>
        <v>205</v>
      </c>
      <c r="J35" s="69">
        <f>SUM(J5:J25)</f>
        <v>4</v>
      </c>
      <c r="K35" s="69">
        <f>SUM(K5:K25)</f>
        <v>1319</v>
      </c>
      <c r="L35" s="69">
        <f>SUM(L5:L25)</f>
        <v>269</v>
      </c>
      <c r="M35" s="69">
        <f>SUM(M5:M25)</f>
        <v>1524</v>
      </c>
      <c r="N35" s="69">
        <f>SUM(N5:N25)</f>
        <v>273</v>
      </c>
      <c r="O35" s="204"/>
      <c r="P35" s="69">
        <f>SUM(P5:P25)</f>
        <v>2</v>
      </c>
      <c r="Q35" s="69">
        <f>SUM(Q5:Q25)</f>
        <v>2</v>
      </c>
      <c r="R35" s="69">
        <f>SUM(R5:R25)</f>
        <v>11</v>
      </c>
      <c r="S35" s="69">
        <f>SUM(S5:S25)</f>
        <v>11</v>
      </c>
      <c r="T35" s="69">
        <f>SUM(T5:T25)</f>
        <v>13</v>
      </c>
      <c r="U35" s="69">
        <f>SUM(U5:U25)</f>
        <v>13</v>
      </c>
      <c r="V35" s="204"/>
      <c r="W35" s="69">
        <f>SUM(W5:W25)</f>
        <v>3</v>
      </c>
      <c r="X35" s="69">
        <f>SUM(X5:X25)</f>
        <v>0</v>
      </c>
      <c r="Y35" s="69">
        <f>SUM(Y5:Y25)</f>
        <v>108</v>
      </c>
      <c r="Z35" s="69">
        <f>SUM(Z5:Z25)</f>
        <v>28</v>
      </c>
      <c r="AA35" s="69">
        <f>SUM(AA5:AA25)</f>
        <v>111</v>
      </c>
      <c r="AB35" s="69">
        <f>SUM(AB5:AB25)</f>
        <v>28</v>
      </c>
      <c r="AC35" s="204"/>
      <c r="AD35" s="69">
        <f>SUM(AD5:AD25)</f>
        <v>0</v>
      </c>
      <c r="AE35" s="69">
        <f>SUM(AE5:AE25)</f>
        <v>6</v>
      </c>
      <c r="AF35" s="69">
        <f>SUM(AF5:AF25)</f>
        <v>6</v>
      </c>
      <c r="AG35" s="132"/>
      <c r="AH35" s="139">
        <f>SUM(AH6:AH25)</f>
        <v>1654</v>
      </c>
      <c r="AI35" s="132"/>
      <c r="AJ35" s="132"/>
    </row>
    <row r="36" spans="1:36" s="199" customFormat="1" x14ac:dyDescent="0.25">
      <c r="A36" s="146"/>
      <c r="B36" s="69"/>
      <c r="C36" s="147"/>
      <c r="D36" s="148"/>
      <c r="E36" s="14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131"/>
      <c r="AH36" s="136"/>
    </row>
    <row r="37" spans="1:36" s="199" customFormat="1" ht="15.6" x14ac:dyDescent="0.25">
      <c r="A37" s="129" t="s">
        <v>129</v>
      </c>
      <c r="B37" s="71"/>
      <c r="C37" s="201"/>
      <c r="D37" s="142"/>
      <c r="E37" s="202"/>
      <c r="F37" s="71"/>
      <c r="G37" s="71">
        <v>73</v>
      </c>
      <c r="H37" s="71"/>
      <c r="I37" s="71">
        <v>91</v>
      </c>
      <c r="J37" s="71">
        <v>10</v>
      </c>
      <c r="K37" s="71">
        <v>320</v>
      </c>
      <c r="L37" s="71">
        <v>58</v>
      </c>
      <c r="M37" s="71">
        <v>411</v>
      </c>
      <c r="N37" s="71">
        <v>68</v>
      </c>
      <c r="O37" s="71"/>
      <c r="P37" s="71">
        <v>4</v>
      </c>
      <c r="Q37" s="71">
        <v>4</v>
      </c>
      <c r="R37" s="71">
        <v>0</v>
      </c>
      <c r="S37" s="71">
        <v>0</v>
      </c>
      <c r="T37" s="71">
        <v>4</v>
      </c>
      <c r="U37" s="71">
        <v>4</v>
      </c>
      <c r="V37" s="71"/>
      <c r="W37" s="71">
        <v>5</v>
      </c>
      <c r="X37" s="71">
        <v>3</v>
      </c>
      <c r="Y37" s="71">
        <v>73</v>
      </c>
      <c r="Z37" s="71">
        <v>12</v>
      </c>
      <c r="AA37" s="71">
        <v>78</v>
      </c>
      <c r="AB37" s="71">
        <v>15</v>
      </c>
      <c r="AC37" s="71"/>
      <c r="AD37" s="71">
        <v>0</v>
      </c>
      <c r="AE37" s="71">
        <v>14</v>
      </c>
      <c r="AF37" s="71">
        <v>14</v>
      </c>
      <c r="AG37" s="131"/>
      <c r="AH37" s="136"/>
    </row>
    <row r="38" spans="1:36" s="135" customFormat="1" ht="15.6" x14ac:dyDescent="0.25">
      <c r="A38" s="129" t="s">
        <v>113</v>
      </c>
      <c r="B38" s="71"/>
      <c r="C38" s="201"/>
      <c r="D38" s="142"/>
      <c r="E38" s="202"/>
      <c r="F38" s="71"/>
      <c r="G38" s="71">
        <v>50</v>
      </c>
      <c r="H38" s="71"/>
      <c r="I38" s="71">
        <v>76</v>
      </c>
      <c r="J38" s="71">
        <v>6</v>
      </c>
      <c r="K38" s="71">
        <v>470</v>
      </c>
      <c r="L38" s="71">
        <v>98</v>
      </c>
      <c r="M38" s="71">
        <v>546</v>
      </c>
      <c r="N38" s="71">
        <v>104</v>
      </c>
      <c r="O38" s="71"/>
      <c r="P38" s="71">
        <v>0</v>
      </c>
      <c r="Q38" s="71">
        <v>0</v>
      </c>
      <c r="R38" s="71">
        <v>0</v>
      </c>
      <c r="S38" s="71">
        <v>0</v>
      </c>
      <c r="T38" s="71">
        <v>0</v>
      </c>
      <c r="U38" s="71">
        <v>0</v>
      </c>
      <c r="V38" s="71"/>
      <c r="W38" s="71">
        <v>2</v>
      </c>
      <c r="X38" s="71">
        <v>0</v>
      </c>
      <c r="Y38" s="71">
        <v>118</v>
      </c>
      <c r="Z38" s="71">
        <v>17</v>
      </c>
      <c r="AA38" s="71">
        <v>120</v>
      </c>
      <c r="AB38" s="71">
        <v>17</v>
      </c>
      <c r="AC38" s="71"/>
      <c r="AD38" s="71">
        <v>9</v>
      </c>
      <c r="AE38" s="71">
        <v>14</v>
      </c>
      <c r="AF38" s="71">
        <v>23</v>
      </c>
      <c r="AG38" s="131"/>
      <c r="AH38" s="136"/>
      <c r="AI38" s="199"/>
      <c r="AJ38" s="199"/>
    </row>
    <row r="39" spans="1:36" s="132" customFormat="1" ht="15.6" x14ac:dyDescent="0.25">
      <c r="A39" s="129" t="s">
        <v>103</v>
      </c>
      <c r="B39" s="71"/>
      <c r="C39" s="201"/>
      <c r="D39" s="142"/>
      <c r="E39" s="130"/>
      <c r="F39" s="71"/>
      <c r="G39" s="150">
        <v>72</v>
      </c>
      <c r="H39" s="150"/>
      <c r="I39" s="150">
        <v>37</v>
      </c>
      <c r="J39" s="150">
        <v>4</v>
      </c>
      <c r="K39" s="150">
        <v>1042</v>
      </c>
      <c r="L39" s="150">
        <v>185</v>
      </c>
      <c r="M39" s="150">
        <f>I39+K39</f>
        <v>1079</v>
      </c>
      <c r="N39" s="150">
        <f>J39+L39</f>
        <v>189</v>
      </c>
      <c r="O39" s="150"/>
      <c r="P39" s="150">
        <v>0</v>
      </c>
      <c r="Q39" s="150">
        <v>0</v>
      </c>
      <c r="R39" s="150">
        <v>0</v>
      </c>
      <c r="S39" s="150">
        <v>0</v>
      </c>
      <c r="T39" s="150">
        <v>0</v>
      </c>
      <c r="U39" s="150">
        <v>0</v>
      </c>
      <c r="V39" s="150"/>
      <c r="W39" s="150">
        <v>2</v>
      </c>
      <c r="X39" s="150">
        <v>0</v>
      </c>
      <c r="Y39" s="150">
        <v>64</v>
      </c>
      <c r="Z39" s="150">
        <v>26</v>
      </c>
      <c r="AA39" s="150">
        <f>W39+Y39</f>
        <v>66</v>
      </c>
      <c r="AB39" s="150">
        <f>X39+Z39</f>
        <v>26</v>
      </c>
      <c r="AC39" s="150"/>
      <c r="AD39" s="150">
        <v>2</v>
      </c>
      <c r="AE39" s="150">
        <v>16</v>
      </c>
      <c r="AF39" s="150">
        <v>20</v>
      </c>
      <c r="AG39" s="131"/>
      <c r="AH39" s="133"/>
      <c r="AI39" s="135"/>
      <c r="AJ39" s="135"/>
    </row>
    <row r="40" spans="1:36" s="132" customFormat="1" ht="15.6" x14ac:dyDescent="0.25">
      <c r="A40" s="129" t="s">
        <v>81</v>
      </c>
      <c r="B40" s="130"/>
      <c r="C40" s="130"/>
      <c r="D40" s="130"/>
      <c r="E40" s="130"/>
      <c r="G40" s="150">
        <v>48</v>
      </c>
      <c r="H40" s="150"/>
      <c r="I40" s="150">
        <v>58</v>
      </c>
      <c r="J40" s="150">
        <v>7</v>
      </c>
      <c r="K40" s="150">
        <v>150</v>
      </c>
      <c r="L40" s="150">
        <v>19</v>
      </c>
      <c r="M40" s="150">
        <v>208</v>
      </c>
      <c r="N40" s="150">
        <v>26</v>
      </c>
      <c r="O40" s="150"/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0</v>
      </c>
      <c r="V40" s="150"/>
      <c r="W40" s="150">
        <v>3</v>
      </c>
      <c r="X40" s="150">
        <v>0</v>
      </c>
      <c r="Y40" s="150">
        <v>49</v>
      </c>
      <c r="Z40" s="150">
        <v>24</v>
      </c>
      <c r="AA40" s="150">
        <v>52</v>
      </c>
      <c r="AB40" s="150">
        <v>24</v>
      </c>
      <c r="AC40" s="150"/>
      <c r="AD40" s="150">
        <v>2</v>
      </c>
      <c r="AE40" s="150">
        <v>7</v>
      </c>
      <c r="AF40" s="150">
        <v>9</v>
      </c>
      <c r="AH40" s="139"/>
    </row>
    <row r="41" spans="1:36" s="132" customFormat="1" ht="15.6" x14ac:dyDescent="0.25">
      <c r="A41" s="129" t="s">
        <v>88</v>
      </c>
      <c r="B41" s="130"/>
      <c r="C41" s="130"/>
      <c r="D41" s="130"/>
      <c r="E41" s="130"/>
      <c r="G41" s="150">
        <v>52</v>
      </c>
      <c r="H41" s="150"/>
      <c r="I41" s="150">
        <v>45</v>
      </c>
      <c r="J41" s="150">
        <v>9</v>
      </c>
      <c r="K41" s="150">
        <v>109</v>
      </c>
      <c r="L41" s="150">
        <v>13</v>
      </c>
      <c r="M41" s="150">
        <v>154</v>
      </c>
      <c r="N41" s="150">
        <v>22</v>
      </c>
      <c r="O41" s="150"/>
      <c r="P41" s="150">
        <v>0</v>
      </c>
      <c r="Q41" s="150">
        <v>0</v>
      </c>
      <c r="R41" s="150">
        <v>0</v>
      </c>
      <c r="S41" s="150">
        <v>0</v>
      </c>
      <c r="T41" s="150">
        <v>0</v>
      </c>
      <c r="U41" s="150">
        <v>0</v>
      </c>
      <c r="V41" s="150"/>
      <c r="W41" s="150">
        <v>4</v>
      </c>
      <c r="X41" s="150">
        <v>0</v>
      </c>
      <c r="Y41" s="150">
        <v>59</v>
      </c>
      <c r="Z41" s="150">
        <v>41</v>
      </c>
      <c r="AA41" s="150">
        <v>63</v>
      </c>
      <c r="AB41" s="150">
        <v>41</v>
      </c>
      <c r="AC41" s="150"/>
      <c r="AD41" s="150">
        <v>1</v>
      </c>
      <c r="AE41" s="150">
        <v>9</v>
      </c>
      <c r="AF41" s="150">
        <v>10</v>
      </c>
      <c r="AH41" s="139"/>
    </row>
    <row r="42" spans="1:36" s="135" customFormat="1" ht="15.6" x14ac:dyDescent="0.25">
      <c r="A42" s="129" t="s">
        <v>89</v>
      </c>
      <c r="B42" s="130"/>
      <c r="C42" s="130"/>
      <c r="D42" s="130"/>
      <c r="E42" s="130"/>
      <c r="F42" s="132"/>
      <c r="G42" s="150">
        <v>49</v>
      </c>
      <c r="H42" s="150"/>
      <c r="I42" s="150">
        <v>21</v>
      </c>
      <c r="J42" s="150">
        <v>3</v>
      </c>
      <c r="K42" s="150">
        <v>322</v>
      </c>
      <c r="L42" s="150">
        <v>54</v>
      </c>
      <c r="M42" s="150">
        <v>343</v>
      </c>
      <c r="N42" s="150">
        <v>57</v>
      </c>
      <c r="O42" s="150"/>
      <c r="P42" s="150">
        <v>0</v>
      </c>
      <c r="Q42" s="150">
        <v>0</v>
      </c>
      <c r="R42" s="150">
        <v>0</v>
      </c>
      <c r="S42" s="150">
        <v>0</v>
      </c>
      <c r="T42" s="150">
        <v>0</v>
      </c>
      <c r="U42" s="150">
        <v>0</v>
      </c>
      <c r="V42" s="150"/>
      <c r="W42" s="150">
        <v>2</v>
      </c>
      <c r="X42" s="150">
        <v>0</v>
      </c>
      <c r="Y42" s="150">
        <v>54</v>
      </c>
      <c r="Z42" s="150">
        <v>5</v>
      </c>
      <c r="AA42" s="150">
        <v>56</v>
      </c>
      <c r="AB42" s="150">
        <v>5</v>
      </c>
      <c r="AC42" s="150"/>
      <c r="AD42" s="150">
        <v>12</v>
      </c>
      <c r="AE42" s="150">
        <v>57</v>
      </c>
      <c r="AF42" s="150">
        <v>69</v>
      </c>
      <c r="AG42" s="132"/>
      <c r="AH42" s="139"/>
      <c r="AI42" s="132"/>
      <c r="AJ42" s="132"/>
    </row>
    <row r="43" spans="1:36" s="135" customFormat="1" x14ac:dyDescent="0.25">
      <c r="A43" s="133" t="s">
        <v>36</v>
      </c>
      <c r="B43" s="133"/>
      <c r="C43" s="134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H43" s="133"/>
    </row>
    <row r="44" spans="1:36" s="135" customFormat="1" x14ac:dyDescent="0.25">
      <c r="A44" s="134" t="s">
        <v>37</v>
      </c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H44" s="133"/>
    </row>
    <row r="45" spans="1:36" s="135" customFormat="1" x14ac:dyDescent="0.25">
      <c r="A45" s="134" t="s">
        <v>75</v>
      </c>
      <c r="B45" s="134"/>
      <c r="C45" s="134"/>
      <c r="D45" s="134"/>
      <c r="E45" s="134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6"/>
      <c r="Z45" s="136"/>
      <c r="AA45" s="133"/>
      <c r="AB45" s="133"/>
      <c r="AC45" s="133"/>
      <c r="AD45" s="133"/>
      <c r="AH45" s="133"/>
    </row>
    <row r="46" spans="1:36" s="135" customFormat="1" x14ac:dyDescent="0.25">
      <c r="A46" s="134" t="s">
        <v>38</v>
      </c>
      <c r="B46" s="134"/>
      <c r="C46" s="134"/>
      <c r="D46" s="134"/>
      <c r="E46" s="134"/>
      <c r="AH46" s="133"/>
    </row>
    <row r="47" spans="1:36" x14ac:dyDescent="0.25">
      <c r="A47" s="134" t="s">
        <v>39</v>
      </c>
      <c r="B47" s="134"/>
      <c r="C47" s="134"/>
      <c r="D47" s="134"/>
      <c r="E47" s="134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3"/>
      <c r="AI47" s="135"/>
      <c r="AJ47" s="135"/>
    </row>
    <row r="48" spans="1:36" x14ac:dyDescent="0.25">
      <c r="A48" s="72"/>
      <c r="B48" s="72"/>
      <c r="C48" s="72"/>
      <c r="D48" s="72"/>
      <c r="E48" s="72"/>
      <c r="K48" s="73" t="s">
        <v>55</v>
      </c>
      <c r="AA48" s="73" t="s">
        <v>55</v>
      </c>
    </row>
    <row r="49" spans="2:11" x14ac:dyDescent="0.25">
      <c r="B49" s="72"/>
      <c r="C49" s="72"/>
      <c r="D49" s="72"/>
      <c r="E49" s="72"/>
      <c r="F49" s="205"/>
    </row>
    <row r="51" spans="2:11" x14ac:dyDescent="0.25">
      <c r="K51" s="206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1"/>
  <sheetViews>
    <sheetView tabSelected="1" zoomScale="120" zoomScaleNormal="120" workbookViewId="0">
      <selection activeCell="AA10" sqref="AA10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151" customFormat="1" ht="15.6" x14ac:dyDescent="0.25">
      <c r="A1" s="151" t="s">
        <v>130</v>
      </c>
      <c r="C1" s="152"/>
    </row>
    <row r="2" spans="1:34" s="151" customFormat="1" x14ac:dyDescent="0.25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4" s="151" customFormat="1" ht="15.6" x14ac:dyDescent="0.25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63" t="s">
        <v>119</v>
      </c>
      <c r="AF3" s="263" t="s">
        <v>120</v>
      </c>
      <c r="AG3" s="263" t="s">
        <v>121</v>
      </c>
    </row>
    <row r="4" spans="1:34" s="151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142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63"/>
      <c r="AF4" s="263"/>
      <c r="AG4" s="263"/>
      <c r="AH4" s="151" t="s">
        <v>146</v>
      </c>
    </row>
    <row r="5" spans="1:34" s="151" customFormat="1" x14ac:dyDescent="0.25">
      <c r="A5" s="159">
        <v>35</v>
      </c>
      <c r="B5" s="152"/>
      <c r="C5" s="160">
        <v>44435</v>
      </c>
      <c r="D5" s="162" t="s">
        <v>41</v>
      </c>
      <c r="E5" s="160">
        <f t="shared" ref="E5" si="0">C5+6</f>
        <v>44441</v>
      </c>
      <c r="F5" s="152"/>
      <c r="G5" s="25">
        <v>5</v>
      </c>
      <c r="H5" s="25"/>
      <c r="I5" s="27">
        <v>163</v>
      </c>
      <c r="J5" s="27">
        <v>2</v>
      </c>
      <c r="K5" s="27">
        <v>105</v>
      </c>
      <c r="L5" s="27">
        <v>7</v>
      </c>
      <c r="M5" s="25">
        <f t="shared" ref="M5" si="1">I5+K5</f>
        <v>268</v>
      </c>
      <c r="N5" s="25">
        <f t="shared" ref="N5" si="2">J5+L5</f>
        <v>9</v>
      </c>
      <c r="O5" s="25"/>
      <c r="P5" s="27">
        <v>0</v>
      </c>
      <c r="Q5" s="27">
        <v>0</v>
      </c>
      <c r="R5" s="27">
        <v>0</v>
      </c>
      <c r="S5" s="27">
        <v>0</v>
      </c>
      <c r="T5" s="25">
        <f>P5+R5</f>
        <v>0</v>
      </c>
      <c r="U5" s="25">
        <f>Q5+S5</f>
        <v>0</v>
      </c>
      <c r="V5" s="25"/>
      <c r="W5" s="256">
        <v>1</v>
      </c>
      <c r="X5" s="256">
        <v>0</v>
      </c>
      <c r="Y5" s="256">
        <v>46</v>
      </c>
      <c r="Z5" s="256">
        <v>28</v>
      </c>
      <c r="AA5" s="161">
        <f t="shared" ref="AA5" si="3">W5+Y5</f>
        <v>47</v>
      </c>
      <c r="AB5" s="161">
        <f t="shared" ref="AB5" si="4">X5+Z5</f>
        <v>28</v>
      </c>
      <c r="AD5" s="197">
        <f>SUM(AA5,T5,M5)</f>
        <v>315</v>
      </c>
      <c r="AE5" s="244">
        <f>N5/M5</f>
        <v>3.3582089552238806E-2</v>
      </c>
      <c r="AF5" s="244" t="e">
        <f>U5/T5</f>
        <v>#DIV/0!</v>
      </c>
      <c r="AG5" s="244">
        <f>AB5/AA5</f>
        <v>0.5957446808510638</v>
      </c>
      <c r="AH5" s="260">
        <f>AD5/G5</f>
        <v>63</v>
      </c>
    </row>
    <row r="6" spans="1:34" s="151" customFormat="1" x14ac:dyDescent="0.25">
      <c r="A6" s="159">
        <v>36</v>
      </c>
      <c r="B6" s="152"/>
      <c r="C6" s="160">
        <v>44442</v>
      </c>
      <c r="D6" s="162" t="s">
        <v>41</v>
      </c>
      <c r="E6" s="160">
        <f t="shared" ref="E6:E13" si="5">C6+6</f>
        <v>44448</v>
      </c>
      <c r="F6" s="152"/>
      <c r="G6" s="25">
        <v>0</v>
      </c>
      <c r="H6" s="25"/>
      <c r="I6" s="27">
        <v>0</v>
      </c>
      <c r="J6" s="27">
        <v>0</v>
      </c>
      <c r="K6" s="27">
        <v>0</v>
      </c>
      <c r="L6" s="27">
        <v>0</v>
      </c>
      <c r="M6" s="25">
        <f t="shared" ref="M6:N6" si="6">I6+K6</f>
        <v>0</v>
      </c>
      <c r="N6" s="25">
        <f t="shared" si="6"/>
        <v>0</v>
      </c>
      <c r="O6" s="25"/>
      <c r="P6" s="27">
        <v>0</v>
      </c>
      <c r="Q6" s="27">
        <v>0</v>
      </c>
      <c r="R6" s="27">
        <v>0</v>
      </c>
      <c r="S6" s="27">
        <v>0</v>
      </c>
      <c r="T6" s="25">
        <f>P6+R6</f>
        <v>0</v>
      </c>
      <c r="U6" s="25">
        <f>Q6+S6</f>
        <v>0</v>
      </c>
      <c r="V6" s="25"/>
      <c r="W6" s="256">
        <v>0</v>
      </c>
      <c r="X6" s="256">
        <v>0</v>
      </c>
      <c r="Y6" s="256">
        <v>0</v>
      </c>
      <c r="Z6" s="256">
        <v>0</v>
      </c>
      <c r="AA6" s="161">
        <f t="shared" ref="AA6:AB6" si="7">W6+Y6</f>
        <v>0</v>
      </c>
      <c r="AB6" s="161">
        <f t="shared" si="7"/>
        <v>0</v>
      </c>
      <c r="AC6" s="151" t="s">
        <v>141</v>
      </c>
      <c r="AD6" s="197">
        <f>SUM(AA6,T6,M6)</f>
        <v>0</v>
      </c>
      <c r="AE6" s="244" t="e">
        <f>N6/M6</f>
        <v>#DIV/0!</v>
      </c>
      <c r="AF6" s="244" t="e">
        <f>U6/T6</f>
        <v>#DIV/0!</v>
      </c>
      <c r="AG6" s="244" t="e">
        <f>AB6/AA6</f>
        <v>#DIV/0!</v>
      </c>
      <c r="AH6" s="260" t="e">
        <f t="shared" ref="AH6:AH25" si="8">AD6/G6</f>
        <v>#DIV/0!</v>
      </c>
    </row>
    <row r="7" spans="1:34" s="34" customFormat="1" x14ac:dyDescent="0.25">
      <c r="A7" s="163">
        <v>37</v>
      </c>
      <c r="B7" s="163"/>
      <c r="C7" s="160">
        <v>44084</v>
      </c>
      <c r="D7" s="162" t="s">
        <v>41</v>
      </c>
      <c r="E7" s="160">
        <f t="shared" si="5"/>
        <v>44090</v>
      </c>
      <c r="F7" s="163"/>
      <c r="G7" s="25">
        <v>4</v>
      </c>
      <c r="H7" s="155"/>
      <c r="I7" s="196">
        <v>70</v>
      </c>
      <c r="J7" s="196">
        <v>3</v>
      </c>
      <c r="K7" s="196">
        <v>214</v>
      </c>
      <c r="L7" s="196">
        <v>32</v>
      </c>
      <c r="M7" s="25">
        <f t="shared" ref="M7:M11" si="9">I7+K7</f>
        <v>284</v>
      </c>
      <c r="N7" s="25">
        <f t="shared" ref="N7:N11" si="10">J7+L7</f>
        <v>35</v>
      </c>
      <c r="O7" s="155"/>
      <c r="P7" s="196">
        <v>0</v>
      </c>
      <c r="Q7" s="196">
        <v>0</v>
      </c>
      <c r="R7" s="196">
        <v>1</v>
      </c>
      <c r="S7" s="196">
        <v>1</v>
      </c>
      <c r="T7" s="25">
        <f t="shared" ref="T7:T11" si="11">P7+R7</f>
        <v>1</v>
      </c>
      <c r="U7" s="25">
        <f t="shared" ref="U7:U11" si="12">Q7+S7</f>
        <v>1</v>
      </c>
      <c r="V7" s="155"/>
      <c r="W7" s="259">
        <v>2</v>
      </c>
      <c r="X7" s="259">
        <v>2</v>
      </c>
      <c r="Y7" s="259">
        <v>63</v>
      </c>
      <c r="Z7" s="259">
        <v>31</v>
      </c>
      <c r="AA7" s="161">
        <f t="shared" ref="AA7:AA11" si="13">W7+Y7</f>
        <v>65</v>
      </c>
      <c r="AB7" s="161">
        <f t="shared" ref="AB7:AB11" si="14">X7+Z7</f>
        <v>33</v>
      </c>
      <c r="AD7" s="197">
        <f>SUM(AA7,T7,M7)</f>
        <v>350</v>
      </c>
      <c r="AE7" s="244">
        <f>N7/M7</f>
        <v>0.12323943661971831</v>
      </c>
      <c r="AF7" s="244">
        <f>U7/T7</f>
        <v>1</v>
      </c>
      <c r="AG7" s="244">
        <f>AB7/AA7</f>
        <v>0.50769230769230766</v>
      </c>
      <c r="AH7" s="260">
        <f t="shared" si="8"/>
        <v>87.5</v>
      </c>
    </row>
    <row r="8" spans="1:34" s="34" customFormat="1" x14ac:dyDescent="0.25">
      <c r="A8" s="163">
        <v>38</v>
      </c>
      <c r="B8" s="163"/>
      <c r="C8" s="160">
        <f>C7+7</f>
        <v>44091</v>
      </c>
      <c r="D8" s="162" t="s">
        <v>41</v>
      </c>
      <c r="E8" s="160">
        <f t="shared" si="5"/>
        <v>44097</v>
      </c>
      <c r="F8" s="163"/>
      <c r="G8" s="25">
        <v>6</v>
      </c>
      <c r="H8" s="155"/>
      <c r="I8" s="196">
        <v>130</v>
      </c>
      <c r="J8" s="196">
        <v>4</v>
      </c>
      <c r="K8" s="196">
        <v>719</v>
      </c>
      <c r="L8" s="196">
        <v>118</v>
      </c>
      <c r="M8" s="25">
        <f t="shared" si="9"/>
        <v>849</v>
      </c>
      <c r="N8" s="25">
        <f t="shared" si="10"/>
        <v>122</v>
      </c>
      <c r="O8" s="155"/>
      <c r="P8" s="196">
        <v>1</v>
      </c>
      <c r="Q8" s="196">
        <v>0</v>
      </c>
      <c r="R8" s="196">
        <v>10</v>
      </c>
      <c r="S8" s="196">
        <v>10</v>
      </c>
      <c r="T8" s="25">
        <f t="shared" si="11"/>
        <v>11</v>
      </c>
      <c r="U8" s="25">
        <f t="shared" si="12"/>
        <v>10</v>
      </c>
      <c r="V8" s="155"/>
      <c r="W8" s="259">
        <v>0</v>
      </c>
      <c r="X8" s="259">
        <v>0</v>
      </c>
      <c r="Y8" s="259">
        <v>57</v>
      </c>
      <c r="Z8" s="259">
        <v>33</v>
      </c>
      <c r="AA8" s="161">
        <f t="shared" si="13"/>
        <v>57</v>
      </c>
      <c r="AB8" s="161">
        <f t="shared" si="14"/>
        <v>33</v>
      </c>
      <c r="AD8" s="197">
        <f t="shared" ref="AD8:AD25" si="15">SUM(AA8,T8,M8)</f>
        <v>917</v>
      </c>
      <c r="AE8" s="244">
        <f t="shared" ref="AE8:AE18" si="16">N8/M8</f>
        <v>0.143698468786808</v>
      </c>
      <c r="AF8" s="244">
        <f t="shared" ref="AF8:AF18" si="17">U8/T8</f>
        <v>0.90909090909090906</v>
      </c>
      <c r="AG8" s="244">
        <f t="shared" ref="AG8:AG18" si="18">AB8/AA8</f>
        <v>0.57894736842105265</v>
      </c>
      <c r="AH8" s="260">
        <f t="shared" si="8"/>
        <v>152.83333333333334</v>
      </c>
    </row>
    <row r="9" spans="1:34" s="34" customFormat="1" x14ac:dyDescent="0.25">
      <c r="A9" s="163">
        <v>39</v>
      </c>
      <c r="B9" s="163"/>
      <c r="C9" s="160">
        <f t="shared" ref="C9:C16" si="19">C8+7</f>
        <v>44098</v>
      </c>
      <c r="D9" s="162" t="s">
        <v>41</v>
      </c>
      <c r="E9" s="160">
        <f t="shared" si="5"/>
        <v>44104</v>
      </c>
      <c r="F9" s="163"/>
      <c r="G9" s="25">
        <v>5</v>
      </c>
      <c r="H9" s="155"/>
      <c r="I9" s="196">
        <v>94</v>
      </c>
      <c r="J9" s="196">
        <v>3</v>
      </c>
      <c r="K9" s="196">
        <v>706</v>
      </c>
      <c r="L9" s="196">
        <v>115</v>
      </c>
      <c r="M9" s="25">
        <f t="shared" si="9"/>
        <v>800</v>
      </c>
      <c r="N9" s="25">
        <f t="shared" si="10"/>
        <v>118</v>
      </c>
      <c r="O9" s="155"/>
      <c r="P9" s="196">
        <v>2</v>
      </c>
      <c r="Q9" s="196">
        <v>2</v>
      </c>
      <c r="R9" s="196">
        <v>43</v>
      </c>
      <c r="S9" s="196">
        <v>41</v>
      </c>
      <c r="T9" s="25">
        <f t="shared" si="11"/>
        <v>45</v>
      </c>
      <c r="U9" s="25">
        <f t="shared" si="12"/>
        <v>43</v>
      </c>
      <c r="V9" s="155"/>
      <c r="W9" s="259">
        <v>1</v>
      </c>
      <c r="X9" s="259">
        <v>0</v>
      </c>
      <c r="Y9" s="259">
        <v>54</v>
      </c>
      <c r="Z9" s="259">
        <v>38</v>
      </c>
      <c r="AA9" s="161">
        <f t="shared" si="13"/>
        <v>55</v>
      </c>
      <c r="AB9" s="161">
        <f t="shared" si="14"/>
        <v>38</v>
      </c>
      <c r="AD9" s="197">
        <f t="shared" si="15"/>
        <v>900</v>
      </c>
      <c r="AE9" s="244">
        <f t="shared" si="16"/>
        <v>0.14749999999999999</v>
      </c>
      <c r="AF9" s="244">
        <f t="shared" si="17"/>
        <v>0.9555555555555556</v>
      </c>
      <c r="AG9" s="244">
        <f t="shared" si="18"/>
        <v>0.69090909090909092</v>
      </c>
      <c r="AH9" s="260">
        <f t="shared" si="8"/>
        <v>180</v>
      </c>
    </row>
    <row r="10" spans="1:34" s="34" customFormat="1" x14ac:dyDescent="0.25">
      <c r="A10" s="159">
        <v>40</v>
      </c>
      <c r="B10" s="163"/>
      <c r="C10" s="160">
        <f t="shared" si="19"/>
        <v>44105</v>
      </c>
      <c r="D10" s="162" t="s">
        <v>41</v>
      </c>
      <c r="E10" s="160">
        <f t="shared" si="5"/>
        <v>44111</v>
      </c>
      <c r="F10" s="163"/>
      <c r="G10" s="25">
        <v>5</v>
      </c>
      <c r="H10" s="155"/>
      <c r="I10" s="196">
        <v>45</v>
      </c>
      <c r="J10" s="196">
        <v>0</v>
      </c>
      <c r="K10" s="196">
        <v>587</v>
      </c>
      <c r="L10" s="196">
        <v>120</v>
      </c>
      <c r="M10" s="25">
        <f t="shared" si="9"/>
        <v>632</v>
      </c>
      <c r="N10" s="25">
        <f t="shared" si="10"/>
        <v>120</v>
      </c>
      <c r="O10" s="155"/>
      <c r="P10" s="196">
        <v>8</v>
      </c>
      <c r="Q10" s="196">
        <v>8</v>
      </c>
      <c r="R10" s="196">
        <v>68</v>
      </c>
      <c r="S10" s="196">
        <v>62</v>
      </c>
      <c r="T10" s="25">
        <f t="shared" si="11"/>
        <v>76</v>
      </c>
      <c r="U10" s="25">
        <f t="shared" si="12"/>
        <v>70</v>
      </c>
      <c r="V10" s="155"/>
      <c r="W10" s="259">
        <v>0</v>
      </c>
      <c r="X10" s="259">
        <v>0</v>
      </c>
      <c r="Y10" s="259">
        <v>30</v>
      </c>
      <c r="Z10" s="259">
        <v>17</v>
      </c>
      <c r="AA10" s="161">
        <f t="shared" si="13"/>
        <v>30</v>
      </c>
      <c r="AB10" s="161">
        <f t="shared" si="14"/>
        <v>17</v>
      </c>
      <c r="AD10" s="197">
        <f t="shared" si="15"/>
        <v>738</v>
      </c>
      <c r="AE10" s="244">
        <f t="shared" si="16"/>
        <v>0.189873417721519</v>
      </c>
      <c r="AF10" s="244">
        <f t="shared" si="17"/>
        <v>0.92105263157894735</v>
      </c>
      <c r="AG10" s="244">
        <f t="shared" si="18"/>
        <v>0.56666666666666665</v>
      </c>
      <c r="AH10" s="260">
        <f t="shared" si="8"/>
        <v>147.6</v>
      </c>
    </row>
    <row r="11" spans="1:34" s="34" customFormat="1" x14ac:dyDescent="0.25">
      <c r="A11" s="159">
        <v>41</v>
      </c>
      <c r="B11" s="163"/>
      <c r="C11" s="160">
        <f t="shared" si="19"/>
        <v>44112</v>
      </c>
      <c r="D11" s="162" t="s">
        <v>41</v>
      </c>
      <c r="E11" s="160">
        <f t="shared" si="5"/>
        <v>44118</v>
      </c>
      <c r="F11" s="163"/>
      <c r="G11" s="25"/>
      <c r="H11" s="155"/>
      <c r="I11" s="196"/>
      <c r="J11" s="196"/>
      <c r="K11" s="196"/>
      <c r="L11" s="196"/>
      <c r="M11" s="25">
        <f t="shared" si="9"/>
        <v>0</v>
      </c>
      <c r="N11" s="25">
        <f t="shared" si="10"/>
        <v>0</v>
      </c>
      <c r="O11" s="163"/>
      <c r="P11" s="196"/>
      <c r="Q11" s="196"/>
      <c r="R11" s="196"/>
      <c r="S11" s="196"/>
      <c r="T11" s="25">
        <f t="shared" si="11"/>
        <v>0</v>
      </c>
      <c r="U11" s="25">
        <f t="shared" si="12"/>
        <v>0</v>
      </c>
      <c r="V11" s="163"/>
      <c r="W11" s="259"/>
      <c r="X11" s="259"/>
      <c r="Y11" s="259"/>
      <c r="Z11" s="259"/>
      <c r="AA11" s="161">
        <f t="shared" si="13"/>
        <v>0</v>
      </c>
      <c r="AB11" s="161">
        <f t="shared" si="14"/>
        <v>0</v>
      </c>
      <c r="AD11" s="197">
        <f t="shared" si="15"/>
        <v>0</v>
      </c>
      <c r="AE11" s="244" t="e">
        <f t="shared" si="16"/>
        <v>#DIV/0!</v>
      </c>
      <c r="AF11" s="244" t="e">
        <f t="shared" si="17"/>
        <v>#DIV/0!</v>
      </c>
      <c r="AG11" s="244" t="e">
        <f t="shared" si="18"/>
        <v>#DIV/0!</v>
      </c>
      <c r="AH11" s="260" t="e">
        <f t="shared" si="8"/>
        <v>#DIV/0!</v>
      </c>
    </row>
    <row r="12" spans="1:34" s="34" customFormat="1" x14ac:dyDescent="0.25">
      <c r="A12" s="159">
        <v>42</v>
      </c>
      <c r="B12" s="163"/>
      <c r="C12" s="160">
        <f t="shared" si="19"/>
        <v>44119</v>
      </c>
      <c r="D12" s="162" t="s">
        <v>41</v>
      </c>
      <c r="E12" s="160">
        <f t="shared" si="5"/>
        <v>44125</v>
      </c>
      <c r="F12" s="163"/>
      <c r="G12" s="25"/>
      <c r="H12" s="155"/>
      <c r="I12" s="257"/>
      <c r="J12" s="257"/>
      <c r="K12" s="257"/>
      <c r="L12" s="257"/>
      <c r="M12" s="25">
        <f t="shared" ref="M12:M13" si="20">I12+K12</f>
        <v>0</v>
      </c>
      <c r="N12" s="25">
        <f t="shared" ref="N12:N13" si="21">J12+L12</f>
        <v>0</v>
      </c>
      <c r="O12" s="163"/>
      <c r="P12" s="257"/>
      <c r="Q12" s="257"/>
      <c r="R12" s="257"/>
      <c r="S12" s="257"/>
      <c r="T12" s="25">
        <f t="shared" ref="T12:T13" si="22">P12+R12</f>
        <v>0</v>
      </c>
      <c r="U12" s="25">
        <f t="shared" ref="U12:U13" si="23">Q12+S12</f>
        <v>0</v>
      </c>
      <c r="V12" s="163"/>
      <c r="W12" s="257"/>
      <c r="X12" s="257"/>
      <c r="Y12" s="257"/>
      <c r="Z12" s="257"/>
      <c r="AA12" s="161">
        <f t="shared" ref="AA12:AA13" si="24">W12+Y12</f>
        <v>0</v>
      </c>
      <c r="AB12" s="161">
        <f t="shared" ref="AB12:AB13" si="25">X12+Z12</f>
        <v>0</v>
      </c>
      <c r="AD12" s="197">
        <f t="shared" si="15"/>
        <v>0</v>
      </c>
      <c r="AE12" s="244" t="e">
        <f t="shared" si="16"/>
        <v>#DIV/0!</v>
      </c>
      <c r="AF12" s="244" t="e">
        <f t="shared" si="17"/>
        <v>#DIV/0!</v>
      </c>
      <c r="AG12" s="244" t="e">
        <f t="shared" si="18"/>
        <v>#DIV/0!</v>
      </c>
      <c r="AH12" s="260" t="e">
        <f t="shared" si="8"/>
        <v>#DIV/0!</v>
      </c>
    </row>
    <row r="13" spans="1:34" s="34" customFormat="1" x14ac:dyDescent="0.25">
      <c r="A13" s="163">
        <v>43</v>
      </c>
      <c r="B13" s="163"/>
      <c r="C13" s="160">
        <f t="shared" si="19"/>
        <v>44126</v>
      </c>
      <c r="D13" s="162" t="s">
        <v>41</v>
      </c>
      <c r="E13" s="160">
        <f t="shared" si="5"/>
        <v>44132</v>
      </c>
      <c r="F13" s="163"/>
      <c r="G13" s="25"/>
      <c r="H13" s="155"/>
      <c r="I13" s="257"/>
      <c r="J13" s="257"/>
      <c r="K13" s="257"/>
      <c r="L13" s="257"/>
      <c r="M13" s="25">
        <f t="shared" si="20"/>
        <v>0</v>
      </c>
      <c r="N13" s="25">
        <f t="shared" si="21"/>
        <v>0</v>
      </c>
      <c r="O13" s="163"/>
      <c r="P13" s="257"/>
      <c r="Q13" s="257"/>
      <c r="R13" s="257"/>
      <c r="S13" s="257"/>
      <c r="T13" s="25">
        <f t="shared" si="22"/>
        <v>0</v>
      </c>
      <c r="U13" s="25">
        <f t="shared" si="23"/>
        <v>0</v>
      </c>
      <c r="V13" s="163"/>
      <c r="W13" s="257"/>
      <c r="X13" s="257"/>
      <c r="Y13" s="257"/>
      <c r="Z13" s="257"/>
      <c r="AA13" s="161">
        <f t="shared" si="24"/>
        <v>0</v>
      </c>
      <c r="AB13" s="161">
        <f t="shared" si="25"/>
        <v>0</v>
      </c>
      <c r="AD13" s="197">
        <f t="shared" si="15"/>
        <v>0</v>
      </c>
      <c r="AE13" s="244" t="e">
        <f t="shared" si="16"/>
        <v>#DIV/0!</v>
      </c>
      <c r="AF13" s="244" t="e">
        <f t="shared" si="17"/>
        <v>#DIV/0!</v>
      </c>
      <c r="AG13" s="244" t="e">
        <f t="shared" si="18"/>
        <v>#DIV/0!</v>
      </c>
      <c r="AH13" s="260" t="e">
        <f t="shared" si="8"/>
        <v>#DIV/0!</v>
      </c>
    </row>
    <row r="14" spans="1:34" s="34" customFormat="1" x14ac:dyDescent="0.25">
      <c r="A14" s="163">
        <v>44</v>
      </c>
      <c r="B14" s="163"/>
      <c r="C14" s="160">
        <f t="shared" si="19"/>
        <v>44133</v>
      </c>
      <c r="D14" s="162" t="s">
        <v>41</v>
      </c>
      <c r="E14" s="160">
        <f t="shared" ref="E14:E15" si="26">C14+6</f>
        <v>44139</v>
      </c>
      <c r="F14" s="163"/>
      <c r="G14" s="25"/>
      <c r="H14" s="155"/>
      <c r="I14" s="257"/>
      <c r="J14" s="257"/>
      <c r="K14" s="257"/>
      <c r="L14" s="257"/>
      <c r="M14" s="25">
        <f t="shared" ref="M14:M16" si="27">I14+K14</f>
        <v>0</v>
      </c>
      <c r="N14" s="25">
        <f t="shared" ref="N14:N16" si="28">J14+L14</f>
        <v>0</v>
      </c>
      <c r="O14" s="163"/>
      <c r="P14" s="257"/>
      <c r="Q14" s="257"/>
      <c r="R14" s="257"/>
      <c r="S14" s="257"/>
      <c r="T14" s="25">
        <f t="shared" ref="T14:T16" si="29">P14+R14</f>
        <v>0</v>
      </c>
      <c r="U14" s="25">
        <f t="shared" ref="U14:U16" si="30">Q14+S14</f>
        <v>0</v>
      </c>
      <c r="V14" s="163"/>
      <c r="W14" s="257"/>
      <c r="X14" s="257"/>
      <c r="Y14" s="257"/>
      <c r="Z14" s="257"/>
      <c r="AA14" s="161">
        <f t="shared" ref="AA14:AA16" si="31">W14+Y14</f>
        <v>0</v>
      </c>
      <c r="AB14" s="161">
        <f t="shared" ref="AB14:AB16" si="32">X14+Z14</f>
        <v>0</v>
      </c>
      <c r="AD14" s="197">
        <f t="shared" si="15"/>
        <v>0</v>
      </c>
      <c r="AE14" s="244" t="e">
        <f t="shared" si="16"/>
        <v>#DIV/0!</v>
      </c>
      <c r="AF14" s="244" t="e">
        <f t="shared" si="17"/>
        <v>#DIV/0!</v>
      </c>
      <c r="AG14" s="244" t="e">
        <f t="shared" si="18"/>
        <v>#DIV/0!</v>
      </c>
      <c r="AH14" s="260" t="e">
        <f t="shared" si="8"/>
        <v>#DIV/0!</v>
      </c>
    </row>
    <row r="15" spans="1:34" s="34" customFormat="1" x14ac:dyDescent="0.25">
      <c r="A15" s="163">
        <v>45</v>
      </c>
      <c r="B15" s="163"/>
      <c r="C15" s="160">
        <f t="shared" si="19"/>
        <v>44140</v>
      </c>
      <c r="D15" s="162" t="s">
        <v>41</v>
      </c>
      <c r="E15" s="160">
        <f t="shared" si="26"/>
        <v>44146</v>
      </c>
      <c r="F15" s="163"/>
      <c r="G15" s="25"/>
      <c r="H15" s="155"/>
      <c r="I15" s="257"/>
      <c r="J15" s="257"/>
      <c r="K15" s="257"/>
      <c r="L15" s="257"/>
      <c r="M15" s="25">
        <f t="shared" si="27"/>
        <v>0</v>
      </c>
      <c r="N15" s="25">
        <f t="shared" si="28"/>
        <v>0</v>
      </c>
      <c r="O15" s="163"/>
      <c r="P15" s="257"/>
      <c r="Q15" s="257"/>
      <c r="R15" s="257"/>
      <c r="S15" s="257"/>
      <c r="T15" s="25">
        <f t="shared" si="29"/>
        <v>0</v>
      </c>
      <c r="U15" s="25">
        <f t="shared" si="30"/>
        <v>0</v>
      </c>
      <c r="V15" s="163"/>
      <c r="W15" s="257"/>
      <c r="X15" s="257"/>
      <c r="Y15" s="257"/>
      <c r="Z15" s="257"/>
      <c r="AA15" s="161">
        <f t="shared" si="31"/>
        <v>0</v>
      </c>
      <c r="AB15" s="161">
        <f t="shared" si="32"/>
        <v>0</v>
      </c>
      <c r="AD15" s="197">
        <f t="shared" si="15"/>
        <v>0</v>
      </c>
      <c r="AE15" s="244" t="e">
        <f t="shared" si="16"/>
        <v>#DIV/0!</v>
      </c>
      <c r="AF15" s="244" t="e">
        <f t="shared" si="17"/>
        <v>#DIV/0!</v>
      </c>
      <c r="AG15" s="244" t="e">
        <f t="shared" si="18"/>
        <v>#DIV/0!</v>
      </c>
      <c r="AH15" s="260" t="e">
        <f t="shared" si="8"/>
        <v>#DIV/0!</v>
      </c>
    </row>
    <row r="16" spans="1:34" s="34" customFormat="1" x14ac:dyDescent="0.25">
      <c r="A16" s="163">
        <v>46</v>
      </c>
      <c r="B16" s="163"/>
      <c r="C16" s="160">
        <f t="shared" si="19"/>
        <v>44147</v>
      </c>
      <c r="D16" s="162" t="s">
        <v>41</v>
      </c>
      <c r="E16" s="160">
        <f t="shared" ref="E16" si="33">C16+6</f>
        <v>44153</v>
      </c>
      <c r="F16" s="163"/>
      <c r="G16" s="225"/>
      <c r="H16" s="225"/>
      <c r="I16" s="258"/>
      <c r="J16" s="258"/>
      <c r="K16" s="258"/>
      <c r="L16" s="258"/>
      <c r="M16" s="225">
        <f t="shared" si="27"/>
        <v>0</v>
      </c>
      <c r="N16" s="225">
        <f t="shared" si="28"/>
        <v>0</v>
      </c>
      <c r="O16" s="168"/>
      <c r="P16" s="258"/>
      <c r="Q16" s="258"/>
      <c r="R16" s="258"/>
      <c r="S16" s="258"/>
      <c r="T16" s="225">
        <f t="shared" si="29"/>
        <v>0</v>
      </c>
      <c r="U16" s="225">
        <f t="shared" si="30"/>
        <v>0</v>
      </c>
      <c r="V16" s="168"/>
      <c r="W16" s="258"/>
      <c r="X16" s="258"/>
      <c r="Y16" s="258"/>
      <c r="Z16" s="258"/>
      <c r="AA16" s="164">
        <f t="shared" si="31"/>
        <v>0</v>
      </c>
      <c r="AB16" s="164">
        <f t="shared" si="32"/>
        <v>0</v>
      </c>
      <c r="AC16" s="34" t="s">
        <v>42</v>
      </c>
      <c r="AD16" s="197">
        <f t="shared" si="15"/>
        <v>0</v>
      </c>
      <c r="AE16" s="244" t="e">
        <f t="shared" si="16"/>
        <v>#DIV/0!</v>
      </c>
      <c r="AF16" s="244" t="e">
        <f t="shared" si="17"/>
        <v>#DIV/0!</v>
      </c>
      <c r="AG16" s="244" t="e">
        <f t="shared" si="18"/>
        <v>#DIV/0!</v>
      </c>
      <c r="AH16" s="260" t="e">
        <f t="shared" si="8"/>
        <v>#DIV/0!</v>
      </c>
    </row>
    <row r="17" spans="1:34" s="34" customFormat="1" x14ac:dyDescent="0.25">
      <c r="A17" s="163"/>
      <c r="B17" s="163"/>
      <c r="C17" s="160"/>
      <c r="D17" s="162"/>
      <c r="E17" s="160"/>
      <c r="F17" s="163"/>
      <c r="G17" s="155"/>
      <c r="H17" s="155"/>
      <c r="I17" s="155"/>
      <c r="J17" s="155"/>
      <c r="K17" s="155"/>
      <c r="L17" s="155"/>
      <c r="M17" s="25"/>
      <c r="N17" s="25"/>
      <c r="O17" s="163"/>
      <c r="P17" s="155"/>
      <c r="Q17" s="155"/>
      <c r="R17" s="155"/>
      <c r="S17" s="155"/>
      <c r="T17" s="25"/>
      <c r="U17" s="25"/>
      <c r="V17" s="163"/>
      <c r="W17" s="155"/>
      <c r="X17" s="155"/>
      <c r="Y17" s="155"/>
      <c r="Z17" s="155"/>
      <c r="AA17" s="25"/>
      <c r="AB17" s="25"/>
      <c r="AD17" s="197"/>
      <c r="AE17" s="244"/>
      <c r="AF17" s="244"/>
      <c r="AG17" s="244"/>
      <c r="AH17" s="260"/>
    </row>
    <row r="18" spans="1:34" s="34" customFormat="1" x14ac:dyDescent="0.25">
      <c r="A18" s="163"/>
      <c r="B18" s="163"/>
      <c r="C18" s="160"/>
      <c r="D18" s="162"/>
      <c r="E18" s="165" t="s">
        <v>138</v>
      </c>
      <c r="F18" s="163"/>
      <c r="G18" s="166">
        <f>SUM(G5:G17)</f>
        <v>25</v>
      </c>
      <c r="H18" s="166"/>
      <c r="I18" s="166">
        <f t="shared" ref="I18:AB18" si="34">SUM(I5:I17)</f>
        <v>502</v>
      </c>
      <c r="J18" s="166">
        <f t="shared" si="34"/>
        <v>12</v>
      </c>
      <c r="K18" s="166">
        <f t="shared" si="34"/>
        <v>2331</v>
      </c>
      <c r="L18" s="166">
        <f t="shared" si="34"/>
        <v>392</v>
      </c>
      <c r="M18" s="166">
        <f t="shared" si="34"/>
        <v>2833</v>
      </c>
      <c r="N18" s="166">
        <f t="shared" si="34"/>
        <v>404</v>
      </c>
      <c r="O18" s="166"/>
      <c r="P18" s="166">
        <f t="shared" si="34"/>
        <v>11</v>
      </c>
      <c r="Q18" s="166">
        <f t="shared" si="34"/>
        <v>10</v>
      </c>
      <c r="R18" s="166">
        <f t="shared" si="34"/>
        <v>122</v>
      </c>
      <c r="S18" s="166">
        <f t="shared" si="34"/>
        <v>114</v>
      </c>
      <c r="T18" s="166">
        <f t="shared" si="34"/>
        <v>133</v>
      </c>
      <c r="U18" s="166">
        <f t="shared" si="34"/>
        <v>124</v>
      </c>
      <c r="V18" s="166"/>
      <c r="W18" s="166">
        <f t="shared" si="34"/>
        <v>4</v>
      </c>
      <c r="X18" s="166">
        <f t="shared" si="34"/>
        <v>2</v>
      </c>
      <c r="Y18" s="166">
        <f t="shared" si="34"/>
        <v>250</v>
      </c>
      <c r="Z18" s="166">
        <f t="shared" si="34"/>
        <v>147</v>
      </c>
      <c r="AA18" s="166">
        <f t="shared" si="34"/>
        <v>254</v>
      </c>
      <c r="AB18" s="166">
        <f t="shared" si="34"/>
        <v>149</v>
      </c>
      <c r="AD18" s="197">
        <f t="shared" si="15"/>
        <v>3220</v>
      </c>
      <c r="AE18" s="244">
        <f t="shared" si="16"/>
        <v>0.14260501235439463</v>
      </c>
      <c r="AF18" s="244">
        <f t="shared" si="17"/>
        <v>0.93233082706766912</v>
      </c>
      <c r="AG18" s="244">
        <f t="shared" si="18"/>
        <v>0.58661417322834641</v>
      </c>
      <c r="AH18" s="260">
        <f t="shared" si="8"/>
        <v>128.80000000000001</v>
      </c>
    </row>
    <row r="19" spans="1:34" s="34" customFormat="1" x14ac:dyDescent="0.25">
      <c r="A19" s="167"/>
      <c r="B19" s="168"/>
      <c r="C19" s="169"/>
      <c r="D19" s="170"/>
      <c r="E19" s="169"/>
      <c r="F19" s="168"/>
      <c r="G19" s="171"/>
      <c r="H19" s="171"/>
      <c r="I19" s="171"/>
      <c r="J19" s="171"/>
      <c r="K19" s="171"/>
      <c r="L19" s="171"/>
      <c r="M19" s="171"/>
      <c r="N19" s="171"/>
      <c r="O19" s="172"/>
      <c r="P19" s="171"/>
      <c r="Q19" s="171"/>
      <c r="R19" s="171"/>
      <c r="S19" s="171"/>
      <c r="T19" s="171"/>
      <c r="U19" s="171"/>
      <c r="V19" s="172"/>
      <c r="W19" s="171"/>
      <c r="X19" s="171"/>
      <c r="Y19" s="171"/>
      <c r="Z19" s="171"/>
      <c r="AA19" s="171"/>
      <c r="AB19" s="171"/>
      <c r="AD19" s="197"/>
      <c r="AH19" s="260"/>
    </row>
    <row r="20" spans="1:34" s="34" customFormat="1" ht="15.6" x14ac:dyDescent="0.25">
      <c r="A20" s="129" t="s">
        <v>129</v>
      </c>
      <c r="B20" s="5"/>
      <c r="C20" s="173"/>
      <c r="D20" s="174"/>
      <c r="E20" s="173"/>
      <c r="F20" s="5"/>
      <c r="G20" s="171">
        <v>49</v>
      </c>
      <c r="H20" s="171"/>
      <c r="I20" s="171">
        <v>43</v>
      </c>
      <c r="J20" s="171">
        <v>6</v>
      </c>
      <c r="K20" s="171">
        <v>101</v>
      </c>
      <c r="L20" s="171">
        <v>15</v>
      </c>
      <c r="M20" s="171">
        <v>144</v>
      </c>
      <c r="N20" s="171">
        <v>21</v>
      </c>
      <c r="O20" s="172"/>
      <c r="P20" s="171">
        <v>39</v>
      </c>
      <c r="Q20" s="171">
        <v>38</v>
      </c>
      <c r="R20" s="171">
        <v>32</v>
      </c>
      <c r="S20" s="171">
        <v>27</v>
      </c>
      <c r="T20" s="171">
        <v>71</v>
      </c>
      <c r="U20" s="171">
        <v>65</v>
      </c>
      <c r="V20" s="172"/>
      <c r="W20" s="171">
        <v>14</v>
      </c>
      <c r="X20" s="171">
        <v>9</v>
      </c>
      <c r="Y20" s="171">
        <v>211</v>
      </c>
      <c r="Z20" s="171">
        <v>89</v>
      </c>
      <c r="AA20" s="171">
        <v>225</v>
      </c>
      <c r="AB20" s="171">
        <v>98</v>
      </c>
      <c r="AD20" s="224">
        <f t="shared" si="15"/>
        <v>440</v>
      </c>
      <c r="AH20" s="260">
        <f t="shared" si="8"/>
        <v>8.9795918367346932</v>
      </c>
    </row>
    <row r="21" spans="1:34" s="34" customFormat="1" ht="15.6" x14ac:dyDescent="0.25">
      <c r="A21" s="129" t="s">
        <v>113</v>
      </c>
      <c r="B21" s="5"/>
      <c r="C21" s="173"/>
      <c r="D21" s="174"/>
      <c r="E21" s="173"/>
      <c r="F21" s="5"/>
      <c r="G21" s="171">
        <v>61</v>
      </c>
      <c r="H21" s="171"/>
      <c r="I21" s="171">
        <v>705</v>
      </c>
      <c r="J21" s="171">
        <v>33</v>
      </c>
      <c r="K21" s="171">
        <v>885</v>
      </c>
      <c r="L21" s="171">
        <v>124</v>
      </c>
      <c r="M21" s="171">
        <v>1589</v>
      </c>
      <c r="N21" s="171">
        <v>157</v>
      </c>
      <c r="O21" s="172"/>
      <c r="P21" s="171">
        <v>14</v>
      </c>
      <c r="Q21" s="171">
        <v>12</v>
      </c>
      <c r="R21" s="171">
        <v>139</v>
      </c>
      <c r="S21" s="171">
        <v>122</v>
      </c>
      <c r="T21" s="171">
        <v>153</v>
      </c>
      <c r="U21" s="171">
        <v>134</v>
      </c>
      <c r="V21" s="172"/>
      <c r="W21" s="171">
        <v>17</v>
      </c>
      <c r="X21" s="171">
        <v>11</v>
      </c>
      <c r="Y21" s="171">
        <v>703</v>
      </c>
      <c r="Z21" s="171">
        <v>168</v>
      </c>
      <c r="AA21" s="171">
        <v>717</v>
      </c>
      <c r="AB21" s="171">
        <v>179</v>
      </c>
      <c r="AD21" s="224">
        <f t="shared" si="15"/>
        <v>2459</v>
      </c>
      <c r="AH21" s="260">
        <f t="shared" si="8"/>
        <v>40.311475409836063</v>
      </c>
    </row>
    <row r="22" spans="1:34" s="34" customFormat="1" ht="15.6" x14ac:dyDescent="0.25">
      <c r="A22" s="129" t="s">
        <v>103</v>
      </c>
      <c r="B22" s="5"/>
      <c r="C22" s="173"/>
      <c r="D22" s="174"/>
      <c r="E22" s="173"/>
      <c r="F22" s="5"/>
      <c r="G22" s="171">
        <v>58</v>
      </c>
      <c r="H22" s="171"/>
      <c r="I22" s="171">
        <v>251</v>
      </c>
      <c r="J22" s="171">
        <v>5</v>
      </c>
      <c r="K22" s="171">
        <v>1341</v>
      </c>
      <c r="L22" s="171">
        <v>204</v>
      </c>
      <c r="M22" s="171">
        <f>I22+K22</f>
        <v>1592</v>
      </c>
      <c r="N22" s="171">
        <f>J22+L22</f>
        <v>209</v>
      </c>
      <c r="O22" s="172"/>
      <c r="P22" s="171">
        <v>48</v>
      </c>
      <c r="Q22" s="171">
        <v>46</v>
      </c>
      <c r="R22" s="171">
        <v>25</v>
      </c>
      <c r="S22" s="171">
        <v>24</v>
      </c>
      <c r="T22" s="171">
        <v>73</v>
      </c>
      <c r="U22" s="171">
        <v>70</v>
      </c>
      <c r="V22" s="172"/>
      <c r="W22" s="171">
        <v>22</v>
      </c>
      <c r="X22" s="171">
        <v>8</v>
      </c>
      <c r="Y22" s="171">
        <v>510</v>
      </c>
      <c r="Z22" s="171">
        <v>306</v>
      </c>
      <c r="AA22" s="171">
        <v>532</v>
      </c>
      <c r="AB22" s="171">
        <v>314</v>
      </c>
      <c r="AD22" s="224">
        <f t="shared" si="15"/>
        <v>2197</v>
      </c>
      <c r="AH22" s="260">
        <f t="shared" si="8"/>
        <v>37.879310344827587</v>
      </c>
    </row>
    <row r="23" spans="1:34" s="34" customFormat="1" ht="15.6" x14ac:dyDescent="0.25">
      <c r="A23" s="129" t="s">
        <v>81</v>
      </c>
      <c r="B23" s="5"/>
      <c r="C23" s="173"/>
      <c r="D23" s="174"/>
      <c r="E23" s="173"/>
      <c r="F23" s="5"/>
      <c r="G23" s="171">
        <v>49</v>
      </c>
      <c r="H23" s="171"/>
      <c r="I23" s="171">
        <v>865</v>
      </c>
      <c r="J23" s="171">
        <v>97</v>
      </c>
      <c r="K23" s="171">
        <v>1030</v>
      </c>
      <c r="L23" s="171">
        <v>122</v>
      </c>
      <c r="M23" s="171">
        <v>1895</v>
      </c>
      <c r="N23" s="171">
        <v>219</v>
      </c>
      <c r="O23" s="172"/>
      <c r="P23" s="171">
        <v>36</v>
      </c>
      <c r="Q23" s="171">
        <v>33</v>
      </c>
      <c r="R23" s="171">
        <v>30</v>
      </c>
      <c r="S23" s="171">
        <v>26</v>
      </c>
      <c r="T23" s="171">
        <v>66</v>
      </c>
      <c r="U23" s="171">
        <v>59</v>
      </c>
      <c r="V23" s="172"/>
      <c r="W23" s="171">
        <v>57</v>
      </c>
      <c r="X23" s="171">
        <v>39</v>
      </c>
      <c r="Y23" s="171">
        <v>689</v>
      </c>
      <c r="Z23" s="171">
        <v>451</v>
      </c>
      <c r="AA23" s="171">
        <v>746</v>
      </c>
      <c r="AB23" s="171">
        <v>490</v>
      </c>
      <c r="AD23" s="224">
        <f t="shared" si="15"/>
        <v>2707</v>
      </c>
      <c r="AH23" s="260">
        <f t="shared" si="8"/>
        <v>55.244897959183675</v>
      </c>
    </row>
    <row r="24" spans="1:34" s="34" customFormat="1" ht="15.6" x14ac:dyDescent="0.25">
      <c r="A24" s="129" t="s">
        <v>88</v>
      </c>
      <c r="B24" s="165"/>
      <c r="C24" s="165"/>
      <c r="D24" s="165"/>
      <c r="E24" s="173"/>
      <c r="F24" s="5"/>
      <c r="G24" s="171">
        <v>34</v>
      </c>
      <c r="H24" s="171"/>
      <c r="I24" s="171">
        <v>76</v>
      </c>
      <c r="J24" s="171">
        <v>8</v>
      </c>
      <c r="K24" s="171">
        <v>383</v>
      </c>
      <c r="L24" s="171">
        <v>23</v>
      </c>
      <c r="M24" s="171">
        <v>459</v>
      </c>
      <c r="N24" s="171">
        <v>31</v>
      </c>
      <c r="O24" s="172"/>
      <c r="P24" s="171">
        <v>2</v>
      </c>
      <c r="Q24" s="171">
        <v>2</v>
      </c>
      <c r="R24" s="171">
        <v>1</v>
      </c>
      <c r="S24" s="171">
        <v>1</v>
      </c>
      <c r="T24" s="171">
        <v>3</v>
      </c>
      <c r="U24" s="171">
        <v>3</v>
      </c>
      <c r="V24" s="172"/>
      <c r="W24" s="171">
        <v>45</v>
      </c>
      <c r="X24" s="171">
        <v>24</v>
      </c>
      <c r="Y24" s="171">
        <v>519</v>
      </c>
      <c r="Z24" s="171">
        <v>288</v>
      </c>
      <c r="AA24" s="171">
        <v>563</v>
      </c>
      <c r="AB24" s="171">
        <v>312</v>
      </c>
      <c r="AD24" s="224">
        <f t="shared" si="15"/>
        <v>1025</v>
      </c>
      <c r="AH24" s="260">
        <f t="shared" si="8"/>
        <v>30.147058823529413</v>
      </c>
    </row>
    <row r="25" spans="1:34" s="34" customFormat="1" ht="15.6" x14ac:dyDescent="0.25">
      <c r="A25" s="129" t="s">
        <v>89</v>
      </c>
      <c r="B25" s="165"/>
      <c r="C25" s="165"/>
      <c r="D25" s="165"/>
      <c r="E25" s="165"/>
      <c r="F25" s="155"/>
      <c r="G25" s="171">
        <v>67</v>
      </c>
      <c r="H25" s="171"/>
      <c r="I25" s="171">
        <v>191</v>
      </c>
      <c r="J25" s="171">
        <v>9</v>
      </c>
      <c r="K25" s="171">
        <v>684</v>
      </c>
      <c r="L25" s="171">
        <v>83</v>
      </c>
      <c r="M25" s="171">
        <v>875</v>
      </c>
      <c r="N25" s="171">
        <v>92</v>
      </c>
      <c r="O25" s="172"/>
      <c r="P25" s="171">
        <v>100</v>
      </c>
      <c r="Q25" s="171">
        <v>93</v>
      </c>
      <c r="R25" s="171">
        <v>394</v>
      </c>
      <c r="S25" s="171">
        <v>314</v>
      </c>
      <c r="T25" s="171">
        <v>494</v>
      </c>
      <c r="U25" s="171">
        <v>407</v>
      </c>
      <c r="V25" s="172"/>
      <c r="W25" s="171">
        <v>65</v>
      </c>
      <c r="X25" s="171">
        <v>60</v>
      </c>
      <c r="Y25" s="171">
        <v>1215</v>
      </c>
      <c r="Z25" s="171">
        <v>948</v>
      </c>
      <c r="AA25" s="171">
        <v>1280</v>
      </c>
      <c r="AB25" s="171">
        <v>1008</v>
      </c>
      <c r="AD25" s="224">
        <f t="shared" si="15"/>
        <v>2649</v>
      </c>
      <c r="AH25" s="260">
        <f t="shared" si="8"/>
        <v>39.537313432835823</v>
      </c>
    </row>
    <row r="26" spans="1:34" s="34" customFormat="1" x14ac:dyDescent="0.25">
      <c r="A26" s="163" t="s">
        <v>36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5"/>
      <c r="W26" s="163"/>
      <c r="X26" s="163"/>
      <c r="Y26" s="163"/>
      <c r="Z26" s="163"/>
      <c r="AA26" s="163"/>
      <c r="AB26" s="163"/>
      <c r="AH26" s="197">
        <f>AVERAGE(AH18:AH25)</f>
        <v>48.699949686706759</v>
      </c>
    </row>
    <row r="27" spans="1:34" s="34" customFormat="1" x14ac:dyDescent="0.25">
      <c r="A27" s="175" t="s">
        <v>37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</row>
    <row r="28" spans="1:34" s="34" customFormat="1" x14ac:dyDescent="0.25">
      <c r="A28" s="176" t="s">
        <v>105</v>
      </c>
      <c r="D28" s="175"/>
      <c r="E28" s="175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</row>
    <row r="29" spans="1:34" s="34" customFormat="1" x14ac:dyDescent="0.25">
      <c r="A29" s="175" t="s">
        <v>38</v>
      </c>
      <c r="B29" s="175"/>
      <c r="C29" s="175"/>
      <c r="D29" s="175"/>
      <c r="E29" s="175"/>
      <c r="AA29" s="177"/>
    </row>
    <row r="30" spans="1:34" s="34" customFormat="1" x14ac:dyDescent="0.25">
      <c r="A30" s="134" t="s">
        <v>107</v>
      </c>
      <c r="B30" s="175"/>
      <c r="C30" s="175"/>
      <c r="D30" s="175"/>
      <c r="E30" s="175"/>
    </row>
    <row r="31" spans="1:34" x14ac:dyDescent="0.25">
      <c r="A31" s="24" t="s">
        <v>143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zoomScaleNormal="100" workbookViewId="0">
      <selection activeCell="G10" sqref="G10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8" s="151" customFormat="1" ht="15.6" x14ac:dyDescent="0.25">
      <c r="A1" s="151" t="s">
        <v>126</v>
      </c>
    </row>
    <row r="2" spans="1:28" s="34" customFormat="1" x14ac:dyDescent="0.25">
      <c r="A2" s="178"/>
      <c r="B2" s="178"/>
      <c r="C2" s="178"/>
      <c r="D2" s="178"/>
      <c r="E2" s="178"/>
      <c r="F2" s="151"/>
      <c r="G2" s="153" t="s">
        <v>17</v>
      </c>
      <c r="H2" s="153"/>
      <c r="I2" s="153"/>
      <c r="J2" s="153"/>
      <c r="K2" s="153"/>
      <c r="L2" s="153"/>
      <c r="M2" s="179"/>
      <c r="N2" s="153" t="s">
        <v>18</v>
      </c>
      <c r="O2" s="153"/>
      <c r="P2" s="153"/>
      <c r="Q2" s="153"/>
      <c r="R2" s="153"/>
      <c r="S2" s="153"/>
      <c r="T2" s="151"/>
      <c r="U2" s="264" t="s">
        <v>19</v>
      </c>
      <c r="V2" s="264"/>
      <c r="W2" s="180"/>
    </row>
    <row r="3" spans="1:28" s="34" customFormat="1" ht="15.6" x14ac:dyDescent="0.25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1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122</v>
      </c>
      <c r="AA3" s="34" t="s">
        <v>123</v>
      </c>
      <c r="AB3" s="34" t="s">
        <v>124</v>
      </c>
    </row>
    <row r="4" spans="1:28" s="34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144</v>
      </c>
      <c r="I4" s="158" t="s">
        <v>30</v>
      </c>
      <c r="J4" s="158" t="s">
        <v>31</v>
      </c>
      <c r="K4" s="158" t="s">
        <v>30</v>
      </c>
      <c r="L4" s="158" t="s">
        <v>31</v>
      </c>
      <c r="M4" s="182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23</v>
      </c>
      <c r="H5" s="38">
        <v>0</v>
      </c>
      <c r="I5" s="38">
        <v>101</v>
      </c>
      <c r="J5" s="38">
        <v>22</v>
      </c>
      <c r="K5" s="25">
        <f t="shared" ref="K5:L10" si="0">G5+I5</f>
        <v>124</v>
      </c>
      <c r="L5" s="25">
        <f t="shared" si="0"/>
        <v>22</v>
      </c>
      <c r="M5" s="183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10" si="1">O5+Q5</f>
        <v>0</v>
      </c>
      <c r="T5" s="38"/>
      <c r="U5" s="38">
        <v>1</v>
      </c>
      <c r="V5" s="38">
        <v>0</v>
      </c>
      <c r="W5" s="33"/>
      <c r="X5" s="212">
        <f>U5+R5+K5</f>
        <v>125</v>
      </c>
      <c r="Z5" s="244">
        <f>L5/K5</f>
        <v>0.17741935483870969</v>
      </c>
      <c r="AA5" s="244" t="e">
        <f t="shared" ref="AA5:AA11" si="2">S5/R5</f>
        <v>#DIV/0!</v>
      </c>
      <c r="AB5" s="244">
        <f t="shared" ref="AB5:AB15" si="3">V5/U5</f>
        <v>0</v>
      </c>
    </row>
    <row r="6" spans="1:28" s="34" customFormat="1" x14ac:dyDescent="0.25">
      <c r="A6" s="27">
        <v>37</v>
      </c>
      <c r="B6" s="28"/>
      <c r="C6" s="31">
        <f t="shared" ref="C6:C10" si="4">C5+7</f>
        <v>38240</v>
      </c>
      <c r="D6" s="30" t="s">
        <v>41</v>
      </c>
      <c r="E6" s="31">
        <f t="shared" ref="E6:E10" si="5">E5+7</f>
        <v>38246</v>
      </c>
      <c r="F6" s="32"/>
      <c r="G6" s="38">
        <v>37</v>
      </c>
      <c r="H6" s="38">
        <v>3</v>
      </c>
      <c r="I6" s="38">
        <v>504</v>
      </c>
      <c r="J6" s="38">
        <v>114</v>
      </c>
      <c r="K6" s="25">
        <f t="shared" si="0"/>
        <v>541</v>
      </c>
      <c r="L6" s="25">
        <f t="shared" si="0"/>
        <v>117</v>
      </c>
      <c r="M6" s="183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3</v>
      </c>
      <c r="V6" s="38">
        <v>3</v>
      </c>
      <c r="W6" s="33"/>
      <c r="X6" s="212">
        <f t="shared" ref="X6:X32" si="6">U6+R6+K6</f>
        <v>544</v>
      </c>
      <c r="Z6" s="244">
        <f t="shared" ref="Z6:Z15" si="7">L6/K6</f>
        <v>0.21626617375231053</v>
      </c>
      <c r="AA6" s="244" t="e">
        <f t="shared" si="2"/>
        <v>#DIV/0!</v>
      </c>
      <c r="AB6" s="244">
        <f t="shared" si="3"/>
        <v>1</v>
      </c>
    </row>
    <row r="7" spans="1:28" s="34" customFormat="1" x14ac:dyDescent="0.25">
      <c r="A7" s="27">
        <v>38</v>
      </c>
      <c r="B7" s="28"/>
      <c r="C7" s="31">
        <f t="shared" si="4"/>
        <v>38247</v>
      </c>
      <c r="D7" s="30" t="s">
        <v>41</v>
      </c>
      <c r="E7" s="31">
        <f t="shared" si="5"/>
        <v>38253</v>
      </c>
      <c r="F7" s="32"/>
      <c r="G7" s="38">
        <v>73</v>
      </c>
      <c r="H7" s="38">
        <v>9</v>
      </c>
      <c r="I7" s="38">
        <v>476</v>
      </c>
      <c r="J7" s="38">
        <v>113</v>
      </c>
      <c r="K7" s="25">
        <f t="shared" si="0"/>
        <v>549</v>
      </c>
      <c r="L7" s="25">
        <f t="shared" si="0"/>
        <v>122</v>
      </c>
      <c r="M7" s="183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4</v>
      </c>
      <c r="V7" s="38">
        <v>3</v>
      </c>
      <c r="W7" s="33"/>
      <c r="X7" s="212">
        <f t="shared" si="6"/>
        <v>553</v>
      </c>
      <c r="Z7" s="244">
        <f t="shared" si="7"/>
        <v>0.22222222222222221</v>
      </c>
      <c r="AA7" s="244" t="e">
        <f t="shared" si="2"/>
        <v>#DIV/0!</v>
      </c>
      <c r="AB7" s="244">
        <f t="shared" si="3"/>
        <v>0.75</v>
      </c>
    </row>
    <row r="8" spans="1:28" s="34" customFormat="1" x14ac:dyDescent="0.25">
      <c r="A8" s="27">
        <v>39</v>
      </c>
      <c r="B8" s="28"/>
      <c r="C8" s="31">
        <f t="shared" si="4"/>
        <v>38254</v>
      </c>
      <c r="D8" s="30" t="s">
        <v>41</v>
      </c>
      <c r="E8" s="31">
        <f t="shared" si="5"/>
        <v>38260</v>
      </c>
      <c r="F8" s="32"/>
      <c r="G8" s="38">
        <v>139</v>
      </c>
      <c r="H8" s="38">
        <v>7</v>
      </c>
      <c r="I8" s="38">
        <v>301</v>
      </c>
      <c r="J8" s="38">
        <v>79</v>
      </c>
      <c r="K8" s="25">
        <f t="shared" si="0"/>
        <v>440</v>
      </c>
      <c r="L8" s="25">
        <f t="shared" si="0"/>
        <v>86</v>
      </c>
      <c r="M8" s="183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2</v>
      </c>
      <c r="V8" s="38">
        <v>2</v>
      </c>
      <c r="W8" s="33"/>
      <c r="X8" s="212">
        <f t="shared" si="6"/>
        <v>442</v>
      </c>
      <c r="Z8" s="244">
        <f t="shared" si="7"/>
        <v>0.19545454545454546</v>
      </c>
      <c r="AA8" s="244" t="e">
        <f t="shared" si="2"/>
        <v>#DIV/0!</v>
      </c>
      <c r="AB8" s="244">
        <f t="shared" si="3"/>
        <v>1</v>
      </c>
    </row>
    <row r="9" spans="1:28" s="34" customFormat="1" x14ac:dyDescent="0.25">
      <c r="A9" s="27">
        <v>40</v>
      </c>
      <c r="B9" s="28"/>
      <c r="C9" s="31">
        <f t="shared" si="4"/>
        <v>38261</v>
      </c>
      <c r="D9" s="30" t="s">
        <v>41</v>
      </c>
      <c r="E9" s="31">
        <f t="shared" si="5"/>
        <v>38267</v>
      </c>
      <c r="F9" s="32"/>
      <c r="G9" s="38">
        <v>180</v>
      </c>
      <c r="H9" s="38">
        <v>3</v>
      </c>
      <c r="I9" s="38">
        <v>171</v>
      </c>
      <c r="J9" s="38">
        <v>22</v>
      </c>
      <c r="K9" s="25">
        <f t="shared" si="0"/>
        <v>351</v>
      </c>
      <c r="L9" s="25">
        <f t="shared" si="0"/>
        <v>25</v>
      </c>
      <c r="M9" s="183"/>
      <c r="N9" s="38">
        <v>1</v>
      </c>
      <c r="O9" s="38">
        <v>1</v>
      </c>
      <c r="P9" s="38">
        <v>0</v>
      </c>
      <c r="Q9" s="38">
        <v>0</v>
      </c>
      <c r="R9" s="47">
        <v>0</v>
      </c>
      <c r="S9" s="25">
        <f t="shared" si="1"/>
        <v>1</v>
      </c>
      <c r="T9" s="38"/>
      <c r="U9" s="38">
        <v>3</v>
      </c>
      <c r="V9" s="38">
        <v>3</v>
      </c>
      <c r="W9" s="33"/>
      <c r="X9" s="212">
        <f t="shared" si="6"/>
        <v>354</v>
      </c>
      <c r="Z9" s="244">
        <f t="shared" si="7"/>
        <v>7.1225071225071226E-2</v>
      </c>
      <c r="AA9" s="244" t="e">
        <f t="shared" si="2"/>
        <v>#DIV/0!</v>
      </c>
      <c r="AB9" s="244">
        <f t="shared" si="3"/>
        <v>1</v>
      </c>
    </row>
    <row r="10" spans="1:28" s="34" customFormat="1" x14ac:dyDescent="0.25">
      <c r="A10" s="27">
        <v>41</v>
      </c>
      <c r="B10" s="28"/>
      <c r="C10" s="31">
        <f t="shared" si="4"/>
        <v>38268</v>
      </c>
      <c r="D10" s="30" t="s">
        <v>41</v>
      </c>
      <c r="E10" s="31">
        <f t="shared" si="5"/>
        <v>38274</v>
      </c>
      <c r="F10" s="32"/>
      <c r="G10" s="38"/>
      <c r="H10" s="38"/>
      <c r="I10" s="38"/>
      <c r="J10" s="38"/>
      <c r="K10" s="25">
        <f t="shared" si="0"/>
        <v>0</v>
      </c>
      <c r="L10" s="25">
        <f t="shared" si="0"/>
        <v>0</v>
      </c>
      <c r="M10" s="183"/>
      <c r="N10" s="38"/>
      <c r="O10" s="38"/>
      <c r="P10" s="38"/>
      <c r="Q10" s="38"/>
      <c r="R10" s="47">
        <f>N10+P10</f>
        <v>0</v>
      </c>
      <c r="S10" s="25">
        <f t="shared" si="1"/>
        <v>0</v>
      </c>
      <c r="T10" s="38"/>
      <c r="U10" s="38"/>
      <c r="V10" s="38"/>
      <c r="W10" s="33"/>
      <c r="X10" s="212">
        <f t="shared" si="6"/>
        <v>0</v>
      </c>
      <c r="Z10" s="244" t="e">
        <f t="shared" si="7"/>
        <v>#DIV/0!</v>
      </c>
      <c r="AA10" s="244" t="e">
        <f t="shared" si="2"/>
        <v>#DIV/0!</v>
      </c>
      <c r="AB10" s="244" t="e">
        <f t="shared" si="3"/>
        <v>#DIV/0!</v>
      </c>
    </row>
    <row r="11" spans="1:28" s="34" customFormat="1" x14ac:dyDescent="0.25">
      <c r="A11" s="184" t="s">
        <v>140</v>
      </c>
      <c r="B11" s="184"/>
      <c r="C11" s="184"/>
      <c r="D11" s="184"/>
      <c r="E11" s="184"/>
      <c r="F11" s="184"/>
      <c r="G11" s="38">
        <f t="shared" ref="G11:L11" si="8">SUM(G5:G10)</f>
        <v>452</v>
      </c>
      <c r="H11" s="38">
        <f t="shared" si="8"/>
        <v>22</v>
      </c>
      <c r="I11" s="38">
        <f t="shared" si="8"/>
        <v>1553</v>
      </c>
      <c r="J11" s="38">
        <f t="shared" si="8"/>
        <v>350</v>
      </c>
      <c r="K11" s="38">
        <f t="shared" si="8"/>
        <v>2005</v>
      </c>
      <c r="L11" s="38">
        <f t="shared" si="8"/>
        <v>372</v>
      </c>
      <c r="M11" s="183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12"/>
      <c r="Z11" s="244">
        <f t="shared" si="7"/>
        <v>0.18553615960099751</v>
      </c>
      <c r="AA11" s="244" t="e">
        <f t="shared" si="2"/>
        <v>#DIV/0!</v>
      </c>
      <c r="AB11" s="244" t="e">
        <f t="shared" si="3"/>
        <v>#DIV/0!</v>
      </c>
    </row>
    <row r="12" spans="1:28" s="34" customFormat="1" ht="13.8" thickBot="1" x14ac:dyDescent="0.3">
      <c r="A12" s="185"/>
      <c r="B12" s="185"/>
      <c r="C12" s="185"/>
      <c r="D12" s="185"/>
      <c r="E12" s="185"/>
      <c r="F12" s="186"/>
      <c r="G12" s="187"/>
      <c r="H12" s="187"/>
      <c r="I12" s="187"/>
      <c r="J12" s="187"/>
      <c r="K12" s="187"/>
      <c r="L12" s="187"/>
      <c r="M12" s="188"/>
      <c r="N12" s="189"/>
      <c r="O12" s="189"/>
      <c r="P12" s="189"/>
      <c r="Q12" s="189"/>
      <c r="R12" s="189"/>
      <c r="S12" s="189"/>
      <c r="T12" s="189"/>
      <c r="U12" s="189"/>
      <c r="V12" s="189"/>
      <c r="W12" s="33"/>
      <c r="X12" s="212"/>
      <c r="Z12" s="244"/>
      <c r="AA12" s="244"/>
      <c r="AB12" s="244"/>
    </row>
    <row r="13" spans="1:28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/>
      <c r="H13" s="190"/>
      <c r="I13" s="190"/>
      <c r="J13" s="190"/>
      <c r="K13" s="38">
        <f>G13+I13</f>
        <v>0</v>
      </c>
      <c r="L13" s="38">
        <f>H13+J13</f>
        <v>0</v>
      </c>
      <c r="M13" s="191"/>
      <c r="N13" s="38"/>
      <c r="O13" s="155"/>
      <c r="P13" s="190"/>
      <c r="Q13" s="38"/>
      <c r="R13" s="47">
        <f t="shared" ref="R13:S23" si="9">N13+P13</f>
        <v>0</v>
      </c>
      <c r="S13" s="47">
        <f t="shared" si="9"/>
        <v>0</v>
      </c>
      <c r="T13" s="33"/>
      <c r="U13" s="38"/>
      <c r="V13" s="155"/>
      <c r="W13" s="33"/>
      <c r="X13" s="212">
        <f t="shared" si="6"/>
        <v>0</v>
      </c>
      <c r="Z13" s="244" t="e">
        <f t="shared" si="7"/>
        <v>#DIV/0!</v>
      </c>
      <c r="AA13" s="244" t="e">
        <f t="shared" ref="AA13:AA15" si="10">S13/R13</f>
        <v>#DIV/0!</v>
      </c>
      <c r="AB13" s="244" t="e">
        <f t="shared" si="3"/>
        <v>#DIV/0!</v>
      </c>
    </row>
    <row r="14" spans="1:28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/>
      <c r="H14" s="38"/>
      <c r="I14" s="38"/>
      <c r="J14" s="38"/>
      <c r="K14" s="38">
        <f t="shared" ref="K14:K32" si="11">G14+I14</f>
        <v>0</v>
      </c>
      <c r="L14" s="38">
        <f t="shared" ref="L14:L32" si="12">H14+J14</f>
        <v>0</v>
      </c>
      <c r="M14" s="191"/>
      <c r="N14" s="38"/>
      <c r="O14" s="38"/>
      <c r="P14" s="38"/>
      <c r="Q14" s="38"/>
      <c r="R14" s="47">
        <f t="shared" si="9"/>
        <v>0</v>
      </c>
      <c r="S14" s="47">
        <f t="shared" si="9"/>
        <v>0</v>
      </c>
      <c r="T14" s="33"/>
      <c r="U14" s="38"/>
      <c r="V14" s="38"/>
      <c r="W14" s="33"/>
      <c r="X14" s="212">
        <f t="shared" si="6"/>
        <v>0</v>
      </c>
      <c r="Z14" s="244" t="e">
        <f t="shared" si="7"/>
        <v>#DIV/0!</v>
      </c>
      <c r="AA14" s="244" t="e">
        <f t="shared" si="10"/>
        <v>#DIV/0!</v>
      </c>
      <c r="AB14" s="244" t="e">
        <f t="shared" si="3"/>
        <v>#DIV/0!</v>
      </c>
    </row>
    <row r="15" spans="1:28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192"/>
      <c r="G15" s="38"/>
      <c r="H15" s="38"/>
      <c r="I15" s="38"/>
      <c r="J15" s="38"/>
      <c r="K15" s="38">
        <f t="shared" si="11"/>
        <v>0</v>
      </c>
      <c r="L15" s="38">
        <f t="shared" si="12"/>
        <v>0</v>
      </c>
      <c r="M15" s="191"/>
      <c r="N15" s="38"/>
      <c r="O15" s="38"/>
      <c r="P15" s="38"/>
      <c r="Q15" s="38"/>
      <c r="R15" s="47">
        <f t="shared" si="9"/>
        <v>0</v>
      </c>
      <c r="S15" s="47">
        <f t="shared" si="9"/>
        <v>0</v>
      </c>
      <c r="T15" s="33"/>
      <c r="U15" s="38"/>
      <c r="V15" s="38"/>
      <c r="W15" s="33"/>
      <c r="X15" s="212">
        <f t="shared" si="6"/>
        <v>0</v>
      </c>
      <c r="Z15" s="244" t="e">
        <f t="shared" si="7"/>
        <v>#DIV/0!</v>
      </c>
      <c r="AA15" s="244" t="e">
        <f t="shared" si="10"/>
        <v>#DIV/0!</v>
      </c>
      <c r="AB15" s="244" t="e">
        <f t="shared" si="3"/>
        <v>#DIV/0!</v>
      </c>
    </row>
    <row r="16" spans="1:28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/>
      <c r="H16" s="38"/>
      <c r="I16" s="38"/>
      <c r="J16" s="38"/>
      <c r="K16" s="38">
        <f t="shared" si="11"/>
        <v>0</v>
      </c>
      <c r="L16" s="38">
        <f t="shared" si="12"/>
        <v>0</v>
      </c>
      <c r="M16" s="191"/>
      <c r="N16" s="38"/>
      <c r="O16" s="38"/>
      <c r="P16" s="38"/>
      <c r="Q16" s="38"/>
      <c r="R16" s="47">
        <f t="shared" ref="R16:R30" si="13">N16+P16</f>
        <v>0</v>
      </c>
      <c r="S16" s="47">
        <f t="shared" si="9"/>
        <v>0</v>
      </c>
      <c r="T16" s="33"/>
      <c r="U16" s="38"/>
      <c r="V16" s="38"/>
      <c r="W16" s="33"/>
      <c r="X16" s="212">
        <f t="shared" si="6"/>
        <v>0</v>
      </c>
      <c r="Z16" s="244" t="e">
        <f t="shared" ref="Z16" si="14">L16/K16</f>
        <v>#DIV/0!</v>
      </c>
      <c r="AA16" s="244" t="e">
        <f t="shared" ref="AA16" si="15">S16/R16</f>
        <v>#DIV/0!</v>
      </c>
      <c r="AB16" s="244" t="e">
        <f t="shared" ref="AB16:AB17" si="16">V16/U16</f>
        <v>#DIV/0!</v>
      </c>
    </row>
    <row r="17" spans="1:28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/>
      <c r="H17" s="38"/>
      <c r="I17" s="38"/>
      <c r="J17" s="38"/>
      <c r="K17" s="38">
        <f t="shared" si="11"/>
        <v>0</v>
      </c>
      <c r="L17" s="38">
        <f t="shared" si="12"/>
        <v>0</v>
      </c>
      <c r="M17" s="183"/>
      <c r="N17" s="38"/>
      <c r="O17" s="38"/>
      <c r="P17" s="38"/>
      <c r="Q17" s="38"/>
      <c r="R17" s="47">
        <f t="shared" si="13"/>
        <v>0</v>
      </c>
      <c r="S17" s="47">
        <f t="shared" si="9"/>
        <v>0</v>
      </c>
      <c r="T17" s="38"/>
      <c r="U17" s="38"/>
      <c r="V17" s="38"/>
      <c r="W17" s="33"/>
      <c r="X17" s="212">
        <f t="shared" si="6"/>
        <v>0</v>
      </c>
      <c r="Z17" s="244" t="e">
        <f t="shared" ref="Z17" si="17">L17/K17</f>
        <v>#DIV/0!</v>
      </c>
      <c r="AA17" s="244" t="e">
        <f t="shared" ref="AA17" si="18">S17/R17</f>
        <v>#DIV/0!</v>
      </c>
      <c r="AB17" s="245" t="e">
        <f t="shared" si="16"/>
        <v>#DIV/0!</v>
      </c>
    </row>
    <row r="18" spans="1:28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/>
      <c r="H18" s="38"/>
      <c r="I18" s="38"/>
      <c r="J18" s="38"/>
      <c r="K18" s="38">
        <f t="shared" si="11"/>
        <v>0</v>
      </c>
      <c r="L18" s="38">
        <f t="shared" si="12"/>
        <v>0</v>
      </c>
      <c r="M18" s="183"/>
      <c r="N18" s="38"/>
      <c r="O18" s="38"/>
      <c r="P18" s="38"/>
      <c r="Q18" s="38"/>
      <c r="R18" s="47">
        <f t="shared" si="13"/>
        <v>0</v>
      </c>
      <c r="S18" s="47">
        <f t="shared" si="9"/>
        <v>0</v>
      </c>
      <c r="T18" s="38"/>
      <c r="U18" s="38"/>
      <c r="V18" s="38"/>
      <c r="W18" s="33"/>
      <c r="X18" s="212">
        <f t="shared" si="6"/>
        <v>0</v>
      </c>
      <c r="Z18" s="244" t="e">
        <f t="shared" ref="Z18:Z19" si="19">L18/K18</f>
        <v>#DIV/0!</v>
      </c>
      <c r="AA18" s="244" t="e">
        <f t="shared" ref="AA18:AA19" si="20">S18/R18</f>
        <v>#DIV/0!</v>
      </c>
      <c r="AB18" s="245" t="e">
        <f t="shared" ref="AB18:AB19" si="21">V18/U18</f>
        <v>#DIV/0!</v>
      </c>
    </row>
    <row r="19" spans="1:28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/>
      <c r="H19" s="38"/>
      <c r="I19" s="38"/>
      <c r="J19" s="38"/>
      <c r="K19" s="38">
        <f t="shared" si="11"/>
        <v>0</v>
      </c>
      <c r="L19" s="38">
        <f t="shared" si="12"/>
        <v>0</v>
      </c>
      <c r="M19" s="183"/>
      <c r="N19" s="38"/>
      <c r="O19" s="38"/>
      <c r="P19" s="38"/>
      <c r="Q19" s="38"/>
      <c r="R19" s="38">
        <f t="shared" si="13"/>
        <v>0</v>
      </c>
      <c r="S19" s="47">
        <f t="shared" si="9"/>
        <v>0</v>
      </c>
      <c r="T19" s="38"/>
      <c r="U19" s="38"/>
      <c r="V19" s="38"/>
      <c r="W19" s="33"/>
      <c r="X19" s="212">
        <f t="shared" si="6"/>
        <v>0</v>
      </c>
      <c r="Z19" s="244" t="e">
        <f t="shared" si="19"/>
        <v>#DIV/0!</v>
      </c>
      <c r="AA19" s="244" t="e">
        <f t="shared" si="20"/>
        <v>#DIV/0!</v>
      </c>
      <c r="AB19" s="245" t="e">
        <f t="shared" si="21"/>
        <v>#DIV/0!</v>
      </c>
    </row>
    <row r="20" spans="1:28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>
        <f t="shared" si="11"/>
        <v>0</v>
      </c>
      <c r="L20" s="38">
        <f t="shared" si="12"/>
        <v>0</v>
      </c>
      <c r="M20" s="183"/>
      <c r="N20" s="38"/>
      <c r="O20" s="38"/>
      <c r="P20" s="38"/>
      <c r="Q20" s="38"/>
      <c r="R20" s="38">
        <f t="shared" si="13"/>
        <v>0</v>
      </c>
      <c r="S20" s="47">
        <f t="shared" si="9"/>
        <v>0</v>
      </c>
      <c r="T20" s="38"/>
      <c r="U20" s="38"/>
      <c r="V20" s="38"/>
      <c r="W20" s="33"/>
      <c r="X20" s="212">
        <f t="shared" si="6"/>
        <v>0</v>
      </c>
      <c r="Z20" s="244" t="e">
        <f t="shared" ref="Z20:Z24" si="22">L20/K20</f>
        <v>#DIV/0!</v>
      </c>
      <c r="AA20" s="244" t="e">
        <f t="shared" ref="AA20:AA24" si="23">S20/R20</f>
        <v>#DIV/0!</v>
      </c>
      <c r="AB20" s="245" t="e">
        <f t="shared" ref="AB20:AB32" si="24">V20/U20</f>
        <v>#DIV/0!</v>
      </c>
    </row>
    <row r="21" spans="1:28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>
        <f t="shared" si="11"/>
        <v>0</v>
      </c>
      <c r="L21" s="38">
        <f t="shared" si="12"/>
        <v>0</v>
      </c>
      <c r="M21" s="183"/>
      <c r="N21" s="38"/>
      <c r="O21" s="38"/>
      <c r="P21" s="38"/>
      <c r="Q21" s="38"/>
      <c r="R21" s="38">
        <f t="shared" si="13"/>
        <v>0</v>
      </c>
      <c r="S21" s="47">
        <f t="shared" si="9"/>
        <v>0</v>
      </c>
      <c r="T21" s="38"/>
      <c r="U21" s="38"/>
      <c r="V21" s="38"/>
      <c r="W21" s="33"/>
      <c r="X21" s="212">
        <f t="shared" si="6"/>
        <v>0</v>
      </c>
      <c r="Z21" s="244" t="e">
        <f t="shared" si="22"/>
        <v>#DIV/0!</v>
      </c>
      <c r="AA21" s="244" t="e">
        <f t="shared" si="23"/>
        <v>#DIV/0!</v>
      </c>
      <c r="AB21" s="245" t="e">
        <f t="shared" si="24"/>
        <v>#DIV/0!</v>
      </c>
    </row>
    <row r="22" spans="1:28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46"/>
      <c r="H22" s="246"/>
      <c r="I22" s="246"/>
      <c r="J22" s="246"/>
      <c r="K22" s="38">
        <v>0</v>
      </c>
      <c r="L22" s="38">
        <v>0</v>
      </c>
      <c r="M22" s="183"/>
      <c r="N22" s="246"/>
      <c r="O22" s="246"/>
      <c r="P22" s="246"/>
      <c r="Q22" s="246"/>
      <c r="R22" s="38">
        <v>0</v>
      </c>
      <c r="S22" s="47">
        <v>0</v>
      </c>
      <c r="T22" s="38"/>
      <c r="U22" s="246"/>
      <c r="V22" s="246"/>
      <c r="W22" s="33"/>
      <c r="X22" s="212">
        <v>0</v>
      </c>
      <c r="Z22" s="244" t="e">
        <f t="shared" si="22"/>
        <v>#DIV/0!</v>
      </c>
      <c r="AA22" s="244" t="e">
        <f t="shared" si="23"/>
        <v>#DIV/0!</v>
      </c>
      <c r="AB22" s="245" t="e">
        <f t="shared" si="24"/>
        <v>#DIV/0!</v>
      </c>
    </row>
    <row r="23" spans="1:28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>
        <f t="shared" si="11"/>
        <v>0</v>
      </c>
      <c r="L23" s="38">
        <f t="shared" si="12"/>
        <v>0</v>
      </c>
      <c r="M23" s="183"/>
      <c r="N23" s="38"/>
      <c r="O23" s="38"/>
      <c r="P23" s="38"/>
      <c r="Q23" s="38"/>
      <c r="R23" s="38">
        <f t="shared" si="13"/>
        <v>0</v>
      </c>
      <c r="S23" s="47">
        <f t="shared" si="9"/>
        <v>0</v>
      </c>
      <c r="T23" s="38"/>
      <c r="U23" s="38"/>
      <c r="V23" s="38"/>
      <c r="W23" s="33"/>
      <c r="X23" s="212">
        <f t="shared" si="6"/>
        <v>0</v>
      </c>
      <c r="Z23" s="244" t="e">
        <f t="shared" si="22"/>
        <v>#DIV/0!</v>
      </c>
      <c r="AA23" s="244" t="e">
        <f t="shared" si="23"/>
        <v>#DIV/0!</v>
      </c>
      <c r="AB23" s="245" t="e">
        <f t="shared" si="24"/>
        <v>#DIV/0!</v>
      </c>
    </row>
    <row r="24" spans="1:28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>
        <f t="shared" si="11"/>
        <v>0</v>
      </c>
      <c r="L24" s="38">
        <f t="shared" si="12"/>
        <v>0</v>
      </c>
      <c r="M24" s="183"/>
      <c r="N24" s="38"/>
      <c r="O24" s="38"/>
      <c r="P24" s="38"/>
      <c r="Q24" s="38"/>
      <c r="R24" s="38">
        <f t="shared" si="13"/>
        <v>0</v>
      </c>
      <c r="S24" s="38">
        <f t="shared" ref="S24:S29" si="25">O24+Q24</f>
        <v>0</v>
      </c>
      <c r="T24" s="38"/>
      <c r="U24" s="38"/>
      <c r="V24" s="38"/>
      <c r="W24" s="33"/>
      <c r="X24" s="212">
        <f t="shared" si="6"/>
        <v>0</v>
      </c>
      <c r="Z24" s="244" t="e">
        <f t="shared" si="22"/>
        <v>#DIV/0!</v>
      </c>
      <c r="AA24" s="244" t="e">
        <f t="shared" si="23"/>
        <v>#DIV/0!</v>
      </c>
      <c r="AB24" s="245" t="e">
        <f t="shared" si="24"/>
        <v>#DIV/0!</v>
      </c>
    </row>
    <row r="25" spans="1:28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>
        <f t="shared" si="11"/>
        <v>0</v>
      </c>
      <c r="L25" s="38">
        <f t="shared" si="12"/>
        <v>0</v>
      </c>
      <c r="M25" s="183"/>
      <c r="N25" s="38"/>
      <c r="O25" s="38"/>
      <c r="P25" s="38"/>
      <c r="Q25" s="38"/>
      <c r="R25" s="38">
        <f t="shared" si="13"/>
        <v>0</v>
      </c>
      <c r="S25" s="38">
        <f t="shared" si="25"/>
        <v>0</v>
      </c>
      <c r="T25" s="38"/>
      <c r="U25" s="38"/>
      <c r="V25" s="38"/>
      <c r="W25" s="33"/>
      <c r="X25" s="212">
        <f t="shared" si="6"/>
        <v>0</v>
      </c>
      <c r="AB25" s="245" t="e">
        <f t="shared" si="24"/>
        <v>#DIV/0!</v>
      </c>
    </row>
    <row r="26" spans="1:28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>
        <f t="shared" si="11"/>
        <v>0</v>
      </c>
      <c r="L26" s="38">
        <f t="shared" si="12"/>
        <v>0</v>
      </c>
      <c r="M26" s="191"/>
      <c r="N26" s="38"/>
      <c r="O26" s="38"/>
      <c r="P26" s="38"/>
      <c r="Q26" s="38"/>
      <c r="R26" s="38">
        <f t="shared" si="13"/>
        <v>0</v>
      </c>
      <c r="S26" s="38">
        <f t="shared" si="25"/>
        <v>0</v>
      </c>
      <c r="T26" s="33"/>
      <c r="U26" s="38"/>
      <c r="V26" s="38"/>
      <c r="W26" s="33"/>
      <c r="X26" s="212">
        <f t="shared" si="6"/>
        <v>0</v>
      </c>
      <c r="AB26" s="245" t="e">
        <f t="shared" si="24"/>
        <v>#DIV/0!</v>
      </c>
    </row>
    <row r="27" spans="1:28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>
        <f t="shared" si="11"/>
        <v>0</v>
      </c>
      <c r="L27" s="38">
        <f t="shared" si="12"/>
        <v>0</v>
      </c>
      <c r="M27" s="191"/>
      <c r="N27" s="38"/>
      <c r="O27" s="38"/>
      <c r="P27" s="38"/>
      <c r="Q27" s="38"/>
      <c r="R27" s="38">
        <f t="shared" si="13"/>
        <v>0</v>
      </c>
      <c r="S27" s="38">
        <f t="shared" si="25"/>
        <v>0</v>
      </c>
      <c r="T27" s="33"/>
      <c r="U27" s="38"/>
      <c r="V27" s="38"/>
      <c r="W27" s="33"/>
      <c r="X27" s="212">
        <f t="shared" si="6"/>
        <v>0</v>
      </c>
      <c r="AB27" s="245" t="e">
        <f t="shared" si="24"/>
        <v>#DIV/0!</v>
      </c>
    </row>
    <row r="28" spans="1:28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11"/>
        <v>0</v>
      </c>
      <c r="L28" s="38">
        <f t="shared" si="12"/>
        <v>0</v>
      </c>
      <c r="M28" s="191"/>
      <c r="N28" s="38"/>
      <c r="O28" s="38"/>
      <c r="P28" s="38"/>
      <c r="Q28" s="38"/>
      <c r="R28" s="38">
        <f t="shared" si="13"/>
        <v>0</v>
      </c>
      <c r="S28" s="38">
        <f t="shared" si="25"/>
        <v>0</v>
      </c>
      <c r="T28" s="33"/>
      <c r="U28" s="38"/>
      <c r="V28" s="38"/>
      <c r="W28" s="33"/>
      <c r="X28" s="212">
        <f t="shared" si="6"/>
        <v>0</v>
      </c>
      <c r="AB28" s="245" t="e">
        <f t="shared" si="24"/>
        <v>#DIV/0!</v>
      </c>
    </row>
    <row r="29" spans="1:28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1"/>
        <v>0</v>
      </c>
      <c r="L29" s="38">
        <f t="shared" si="12"/>
        <v>0</v>
      </c>
      <c r="M29" s="191"/>
      <c r="N29" s="38"/>
      <c r="O29" s="38"/>
      <c r="P29" s="38"/>
      <c r="Q29" s="38"/>
      <c r="R29" s="38">
        <f t="shared" si="13"/>
        <v>0</v>
      </c>
      <c r="S29" s="38">
        <f t="shared" si="25"/>
        <v>0</v>
      </c>
      <c r="T29" s="33"/>
      <c r="U29" s="38"/>
      <c r="V29" s="38"/>
      <c r="W29" s="33"/>
      <c r="X29" s="212">
        <f t="shared" si="6"/>
        <v>0</v>
      </c>
      <c r="AB29" s="245" t="e">
        <f t="shared" si="24"/>
        <v>#DIV/0!</v>
      </c>
    </row>
    <row r="30" spans="1:28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1"/>
        <v>0</v>
      </c>
      <c r="L30" s="38">
        <f t="shared" si="12"/>
        <v>0</v>
      </c>
      <c r="M30" s="191"/>
      <c r="N30" s="38"/>
      <c r="O30" s="38"/>
      <c r="P30" s="38"/>
      <c r="Q30" s="38"/>
      <c r="R30" s="38">
        <f t="shared" si="13"/>
        <v>0</v>
      </c>
      <c r="S30" s="38">
        <v>0</v>
      </c>
      <c r="T30" s="33"/>
      <c r="U30" s="38"/>
      <c r="V30" s="38"/>
      <c r="W30" s="198"/>
      <c r="X30" s="212">
        <f t="shared" si="6"/>
        <v>0</v>
      </c>
      <c r="AB30" s="245" t="e">
        <f t="shared" si="24"/>
        <v>#DIV/0!</v>
      </c>
    </row>
    <row r="31" spans="1:28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1"/>
        <v>0</v>
      </c>
      <c r="L31" s="38">
        <f t="shared" si="12"/>
        <v>0</v>
      </c>
      <c r="M31" s="191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12">
        <f t="shared" si="6"/>
        <v>0</v>
      </c>
      <c r="AB31" s="245" t="e">
        <f t="shared" si="24"/>
        <v>#DIV/0!</v>
      </c>
    </row>
    <row r="32" spans="1:28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1"/>
        <v>0</v>
      </c>
      <c r="L32" s="38">
        <f t="shared" si="12"/>
        <v>0</v>
      </c>
      <c r="M32" s="191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12">
        <f t="shared" si="6"/>
        <v>0</v>
      </c>
      <c r="AB32" s="245" t="e">
        <f t="shared" si="24"/>
        <v>#DIV/0!</v>
      </c>
    </row>
    <row r="33" spans="1:24" s="34" customFormat="1" x14ac:dyDescent="0.25">
      <c r="A33" s="74" t="s">
        <v>139</v>
      </c>
      <c r="B33" s="74"/>
      <c r="C33" s="74"/>
      <c r="D33" s="74"/>
      <c r="E33" s="74"/>
      <c r="F33" s="74"/>
      <c r="G33" s="38">
        <f t="shared" ref="G33:L33" si="26">SUM(G13:G32)</f>
        <v>0</v>
      </c>
      <c r="H33" s="38">
        <f t="shared" si="26"/>
        <v>0</v>
      </c>
      <c r="I33" s="38">
        <f t="shared" si="26"/>
        <v>0</v>
      </c>
      <c r="J33" s="38">
        <f t="shared" si="26"/>
        <v>0</v>
      </c>
      <c r="K33" s="47">
        <f t="shared" si="26"/>
        <v>0</v>
      </c>
      <c r="L33" s="47">
        <f t="shared" si="26"/>
        <v>0</v>
      </c>
      <c r="M33" s="191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4" s="195" customFormat="1" x14ac:dyDescent="0.25">
      <c r="A34" s="193" t="s">
        <v>138</v>
      </c>
      <c r="B34" s="193"/>
      <c r="C34" s="193"/>
      <c r="D34" s="193"/>
      <c r="E34" s="193"/>
      <c r="F34" s="193"/>
      <c r="G34" s="171">
        <f t="shared" ref="G34:L34" si="27">G11+G33</f>
        <v>452</v>
      </c>
      <c r="H34" s="171">
        <f t="shared" si="27"/>
        <v>22</v>
      </c>
      <c r="I34" s="171">
        <f t="shared" si="27"/>
        <v>1553</v>
      </c>
      <c r="J34" s="171">
        <f t="shared" si="27"/>
        <v>350</v>
      </c>
      <c r="K34" s="171">
        <f t="shared" si="27"/>
        <v>2005</v>
      </c>
      <c r="L34" s="171">
        <f t="shared" si="27"/>
        <v>372</v>
      </c>
      <c r="M34" s="194"/>
      <c r="N34" s="171">
        <f t="shared" ref="N34:S34" si="28">SUM(N5:N33)</f>
        <v>1</v>
      </c>
      <c r="O34" s="171">
        <f t="shared" si="28"/>
        <v>1</v>
      </c>
      <c r="P34" s="171">
        <f t="shared" si="28"/>
        <v>0</v>
      </c>
      <c r="Q34" s="171">
        <f t="shared" si="28"/>
        <v>0</v>
      </c>
      <c r="R34" s="171">
        <f t="shared" si="28"/>
        <v>0</v>
      </c>
      <c r="S34" s="171">
        <f t="shared" si="28"/>
        <v>1</v>
      </c>
      <c r="T34" s="194"/>
      <c r="U34" s="171">
        <f>SUM(U5:U33)</f>
        <v>13</v>
      </c>
      <c r="V34" s="171">
        <f>SUM(V5:V33)</f>
        <v>11</v>
      </c>
      <c r="W34" s="172"/>
      <c r="X34" s="248">
        <f>SUM(X5:X33)</f>
        <v>2018</v>
      </c>
    </row>
    <row r="35" spans="1:24" s="34" customFormat="1" x14ac:dyDescent="0.25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1"/>
      <c r="N35" s="38"/>
      <c r="O35" s="38"/>
      <c r="P35" s="38"/>
      <c r="Q35" s="38"/>
      <c r="R35" s="38"/>
      <c r="S35" s="38"/>
      <c r="T35" s="191"/>
      <c r="U35" s="38"/>
      <c r="V35" s="38"/>
      <c r="W35" s="33"/>
    </row>
    <row r="36" spans="1:24" s="34" customFormat="1" ht="15.6" x14ac:dyDescent="0.25">
      <c r="A36" s="74" t="s">
        <v>125</v>
      </c>
      <c r="B36" s="74"/>
      <c r="C36" s="74"/>
      <c r="D36" s="74"/>
      <c r="E36" s="74"/>
      <c r="F36" s="74"/>
      <c r="G36" s="38">
        <v>3555</v>
      </c>
      <c r="H36" s="38">
        <v>751</v>
      </c>
      <c r="I36" s="38">
        <v>4808</v>
      </c>
      <c r="J36" s="38">
        <v>1068</v>
      </c>
      <c r="K36" s="38">
        <v>8363</v>
      </c>
      <c r="L36" s="38">
        <v>1819</v>
      </c>
      <c r="M36" s="191"/>
      <c r="N36" s="38">
        <v>1375</v>
      </c>
      <c r="O36" s="38">
        <v>1357</v>
      </c>
      <c r="P36" s="38">
        <v>959</v>
      </c>
      <c r="Q36" s="38">
        <v>922</v>
      </c>
      <c r="R36" s="38">
        <v>2333</v>
      </c>
      <c r="S36" s="38">
        <v>2279</v>
      </c>
      <c r="T36" s="191"/>
      <c r="U36" s="38">
        <v>590</v>
      </c>
      <c r="V36" s="38">
        <v>558</v>
      </c>
      <c r="W36" s="33"/>
    </row>
    <row r="37" spans="1:24" s="34" customFormat="1" ht="15.6" x14ac:dyDescent="0.25">
      <c r="A37" s="74" t="s">
        <v>112</v>
      </c>
      <c r="B37" s="74"/>
      <c r="C37" s="74"/>
      <c r="D37" s="74"/>
      <c r="E37" s="74"/>
      <c r="F37" s="74"/>
      <c r="G37" s="38">
        <v>297</v>
      </c>
      <c r="H37" s="38">
        <v>64</v>
      </c>
      <c r="I37" s="38">
        <v>5767</v>
      </c>
      <c r="J37" s="38">
        <v>1288</v>
      </c>
      <c r="K37" s="38">
        <f>G37+I37</f>
        <v>6064</v>
      </c>
      <c r="L37" s="38">
        <f>H37+J37</f>
        <v>1352</v>
      </c>
      <c r="M37" s="191"/>
      <c r="N37" s="38">
        <v>6</v>
      </c>
      <c r="O37" s="38">
        <v>5</v>
      </c>
      <c r="P37" s="38">
        <v>643</v>
      </c>
      <c r="Q37" s="38">
        <v>602</v>
      </c>
      <c r="R37" s="38">
        <f>N37+P37</f>
        <v>649</v>
      </c>
      <c r="S37" s="38">
        <f>O37+Q37</f>
        <v>607</v>
      </c>
      <c r="T37" s="191"/>
      <c r="U37" s="38">
        <v>386</v>
      </c>
      <c r="V37" s="38">
        <v>370</v>
      </c>
      <c r="W37" s="33"/>
    </row>
    <row r="38" spans="1:24" s="34" customFormat="1" ht="15.6" x14ac:dyDescent="0.25">
      <c r="A38" s="74" t="s">
        <v>104</v>
      </c>
      <c r="B38" s="74"/>
      <c r="C38" s="74"/>
      <c r="D38" s="74"/>
      <c r="E38" s="74"/>
      <c r="F38" s="74"/>
      <c r="G38" s="38">
        <v>924</v>
      </c>
      <c r="H38" s="38">
        <v>185</v>
      </c>
      <c r="I38" s="38">
        <v>9297</v>
      </c>
      <c r="J38" s="38">
        <v>2075</v>
      </c>
      <c r="K38" s="38">
        <f>G38+I38</f>
        <v>10221</v>
      </c>
      <c r="L38" s="38">
        <f>H38+J38</f>
        <v>2260</v>
      </c>
      <c r="M38" s="191"/>
      <c r="N38" s="38">
        <v>186</v>
      </c>
      <c r="O38" s="38">
        <v>185</v>
      </c>
      <c r="P38" s="38">
        <v>556</v>
      </c>
      <c r="Q38" s="38">
        <v>515</v>
      </c>
      <c r="R38" s="38">
        <f>N38+P38</f>
        <v>742</v>
      </c>
      <c r="S38" s="38">
        <f>O38+Q38</f>
        <v>700</v>
      </c>
      <c r="T38" s="191"/>
      <c r="U38" s="38">
        <v>1869</v>
      </c>
      <c r="V38" s="38">
        <v>1859</v>
      </c>
      <c r="W38" s="33"/>
    </row>
    <row r="39" spans="1:24" s="34" customFormat="1" ht="15.6" x14ac:dyDescent="0.25">
      <c r="A39" s="129" t="s">
        <v>91</v>
      </c>
      <c r="B39" s="74"/>
      <c r="C39" s="74"/>
      <c r="D39" s="74"/>
      <c r="E39" s="74"/>
      <c r="F39" s="74"/>
      <c r="G39" s="38">
        <v>2197</v>
      </c>
      <c r="H39" s="38">
        <v>478</v>
      </c>
      <c r="I39" s="38">
        <v>4814</v>
      </c>
      <c r="J39" s="38">
        <v>1074</v>
      </c>
      <c r="K39" s="38">
        <v>7011</v>
      </c>
      <c r="L39" s="38">
        <v>1552</v>
      </c>
      <c r="M39" s="191"/>
      <c r="N39" s="38">
        <v>170</v>
      </c>
      <c r="O39" s="38">
        <v>168</v>
      </c>
      <c r="P39" s="38">
        <v>252</v>
      </c>
      <c r="Q39" s="38">
        <v>229</v>
      </c>
      <c r="R39" s="38">
        <v>422</v>
      </c>
      <c r="S39" s="38">
        <v>397</v>
      </c>
      <c r="T39" s="191"/>
      <c r="U39" s="38">
        <v>2049</v>
      </c>
      <c r="V39" s="38">
        <v>1996</v>
      </c>
      <c r="W39" s="33"/>
    </row>
    <row r="40" spans="1:24" s="34" customFormat="1" ht="15.6" x14ac:dyDescent="0.25">
      <c r="A40" s="129" t="s">
        <v>90</v>
      </c>
      <c r="B40" s="74"/>
      <c r="C40" s="74"/>
      <c r="D40" s="74"/>
      <c r="E40" s="74"/>
      <c r="F40" s="74"/>
      <c r="G40" s="38">
        <f>277+454</f>
        <v>731</v>
      </c>
      <c r="H40" s="38">
        <f>55+424</f>
        <v>479</v>
      </c>
      <c r="I40" s="38">
        <f>1830+1089</f>
        <v>2919</v>
      </c>
      <c r="J40" s="38">
        <f>424+223</f>
        <v>647</v>
      </c>
      <c r="K40" s="38">
        <f>G40+I40</f>
        <v>3650</v>
      </c>
      <c r="L40" s="38">
        <f>H40+J40</f>
        <v>1126</v>
      </c>
      <c r="M40" s="191"/>
      <c r="N40" s="38">
        <v>45</v>
      </c>
      <c r="O40" s="38">
        <v>45</v>
      </c>
      <c r="P40" s="38">
        <v>482</v>
      </c>
      <c r="Q40" s="38">
        <v>408</v>
      </c>
      <c r="R40" s="38">
        <f>N40+P40</f>
        <v>527</v>
      </c>
      <c r="S40" s="38">
        <f>O40+Q40</f>
        <v>453</v>
      </c>
      <c r="T40" s="191"/>
      <c r="U40" s="38">
        <v>1574</v>
      </c>
      <c r="V40" s="38">
        <v>1557</v>
      </c>
      <c r="W40" s="33"/>
    </row>
    <row r="41" spans="1:24" s="34" customFormat="1" ht="15.6" x14ac:dyDescent="0.25">
      <c r="A41" s="129" t="s">
        <v>92</v>
      </c>
      <c r="B41" s="75"/>
      <c r="C41" s="75"/>
      <c r="D41" s="75"/>
      <c r="E41" s="75"/>
      <c r="F41" s="75"/>
      <c r="G41" s="38">
        <v>546</v>
      </c>
      <c r="H41" s="38">
        <v>104</v>
      </c>
      <c r="I41" s="38">
        <v>4795</v>
      </c>
      <c r="J41" s="38">
        <v>1058</v>
      </c>
      <c r="K41" s="38">
        <f>G41+I41</f>
        <v>5341</v>
      </c>
      <c r="L41" s="38">
        <f>J41+H41</f>
        <v>1162</v>
      </c>
      <c r="M41" s="191"/>
      <c r="N41" s="38">
        <v>355</v>
      </c>
      <c r="O41" s="38">
        <v>343</v>
      </c>
      <c r="P41" s="38">
        <v>2982</v>
      </c>
      <c r="Q41" s="38">
        <v>2697</v>
      </c>
      <c r="R41" s="38">
        <f>P41+N41</f>
        <v>3337</v>
      </c>
      <c r="S41" s="38">
        <f>Q41+O41</f>
        <v>3040</v>
      </c>
      <c r="T41" s="191"/>
      <c r="U41" s="38">
        <f>2986+107+77+66</f>
        <v>3236</v>
      </c>
      <c r="V41" s="38">
        <f>2954+106+75+65</f>
        <v>3200</v>
      </c>
      <c r="W41" s="47"/>
    </row>
    <row r="42" spans="1:24" s="34" customFormat="1" x14ac:dyDescent="0.25">
      <c r="A42" s="196" t="s">
        <v>36</v>
      </c>
      <c r="B42" s="196"/>
      <c r="C42" s="196"/>
      <c r="D42" s="196"/>
      <c r="E42" s="196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4" s="34" customFormat="1" x14ac:dyDescent="0.25">
      <c r="A43" s="176" t="s">
        <v>66</v>
      </c>
      <c r="B43" s="196"/>
      <c r="C43" s="196"/>
      <c r="D43" s="196"/>
      <c r="E43" s="196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4" s="34" customFormat="1" x14ac:dyDescent="0.25">
      <c r="A44" s="176" t="s">
        <v>76</v>
      </c>
      <c r="B44" s="178"/>
      <c r="C44" s="178"/>
      <c r="D44" s="176"/>
      <c r="E44" s="176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</row>
    <row r="45" spans="1:24" s="34" customFormat="1" x14ac:dyDescent="0.25">
      <c r="A45" s="176" t="s">
        <v>38</v>
      </c>
      <c r="B45" s="176"/>
      <c r="C45" s="176"/>
      <c r="D45" s="176"/>
      <c r="E45" s="176"/>
    </row>
    <row r="46" spans="1:24" s="34" customFormat="1" x14ac:dyDescent="0.25">
      <c r="A46" s="178" t="s">
        <v>108</v>
      </c>
      <c r="B46" s="176"/>
      <c r="C46" s="176"/>
      <c r="D46" s="176"/>
      <c r="E46" s="176"/>
    </row>
    <row r="47" spans="1:24" s="34" customFormat="1" x14ac:dyDescent="0.25">
      <c r="A47" s="176" t="s">
        <v>127</v>
      </c>
      <c r="B47" s="176"/>
      <c r="C47" s="176"/>
      <c r="D47" s="176"/>
      <c r="E47" s="176"/>
    </row>
    <row r="48" spans="1:24" s="34" customFormat="1" x14ac:dyDescent="0.25">
      <c r="A48" s="134" t="s">
        <v>93</v>
      </c>
      <c r="B48" s="176"/>
      <c r="C48" s="176"/>
      <c r="D48" s="176"/>
      <c r="E48" s="176"/>
    </row>
    <row r="49" spans="1:16" x14ac:dyDescent="0.25">
      <c r="A49" s="134" t="s">
        <v>145</v>
      </c>
    </row>
    <row r="53" spans="1:16" x14ac:dyDescent="0.25">
      <c r="P53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topLeftCell="AP1" workbookViewId="0">
      <selection activeCell="BN34" sqref="BN34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1" customWidth="1"/>
    <col min="65" max="65" width="2.44140625" customWidth="1"/>
    <col min="69" max="69" width="2.77734375" customWidth="1"/>
  </cols>
  <sheetData>
    <row r="1" spans="1:72" s="9" customFormat="1" x14ac:dyDescent="0.25">
      <c r="B1" s="26"/>
      <c r="C1" s="26"/>
      <c r="D1" s="26"/>
      <c r="E1" s="26"/>
      <c r="F1" s="26" t="s">
        <v>128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2004-2020.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2004-2020.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2004-2020.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2004-2020.</v>
      </c>
      <c r="BJ1" s="120"/>
      <c r="BK1" s="120"/>
      <c r="BL1" s="120"/>
    </row>
    <row r="2" spans="1:72" s="9" customFormat="1" x14ac:dyDescent="0.25">
      <c r="F2" s="268" t="s">
        <v>44</v>
      </c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61"/>
      <c r="R2" s="268" t="s">
        <v>44</v>
      </c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61"/>
      <c r="AD2" s="268" t="s">
        <v>44</v>
      </c>
      <c r="AE2" s="268"/>
      <c r="AF2" s="268"/>
      <c r="AG2" s="268"/>
      <c r="AH2" s="268"/>
      <c r="AI2" s="268"/>
      <c r="AJ2" s="268"/>
      <c r="AK2" s="268"/>
      <c r="AL2" s="268"/>
      <c r="AM2" s="268"/>
      <c r="AN2" s="268"/>
      <c r="AO2" s="61"/>
      <c r="AP2" s="268" t="s">
        <v>44</v>
      </c>
      <c r="AQ2" s="268"/>
      <c r="AR2" s="268"/>
      <c r="AS2" s="268"/>
      <c r="AT2" s="268"/>
      <c r="AU2" s="268"/>
      <c r="AV2" s="268"/>
      <c r="AW2" s="268"/>
      <c r="AX2" s="268"/>
      <c r="AY2" s="268"/>
      <c r="AZ2" s="268"/>
      <c r="BJ2" s="120"/>
      <c r="BK2" s="120"/>
      <c r="BL2" s="120"/>
    </row>
    <row r="3" spans="1:72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65">
        <v>2019</v>
      </c>
      <c r="BO3" s="265"/>
      <c r="BP3" s="265"/>
      <c r="BR3" s="265">
        <v>2020</v>
      </c>
      <c r="BS3" s="265"/>
      <c r="BT3" s="265"/>
    </row>
    <row r="4" spans="1:72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  <c r="BR4" s="119" t="s">
        <v>17</v>
      </c>
      <c r="BS4" s="119" t="s">
        <v>45</v>
      </c>
      <c r="BT4" s="119" t="s">
        <v>19</v>
      </c>
    </row>
    <row r="5" spans="1:72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  <c r="BN5" s="13"/>
      <c r="BO5" s="13"/>
      <c r="BP5" s="13"/>
      <c r="BR5" s="251">
        <v>1</v>
      </c>
      <c r="BS5" s="251"/>
      <c r="BT5" s="251"/>
    </row>
    <row r="6" spans="1:72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  <c r="BN6" s="1"/>
      <c r="BO6" s="1"/>
      <c r="BP6" s="1"/>
      <c r="BR6" s="251">
        <v>2</v>
      </c>
      <c r="BS6" s="251"/>
      <c r="BT6" s="251"/>
    </row>
    <row r="7" spans="1:72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  <c r="BN7" s="1"/>
      <c r="BO7" s="1"/>
      <c r="BP7" s="1"/>
      <c r="BR7" s="251">
        <v>21</v>
      </c>
      <c r="BS7" s="251">
        <v>3</v>
      </c>
      <c r="BT7" s="251">
        <v>6</v>
      </c>
    </row>
    <row r="8" spans="1:72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  <c r="BN8" s="1"/>
      <c r="BO8" s="1"/>
      <c r="BP8" s="1"/>
      <c r="BR8" s="251">
        <v>120</v>
      </c>
      <c r="BS8" s="251">
        <v>5</v>
      </c>
      <c r="BT8" s="251">
        <v>18</v>
      </c>
    </row>
    <row r="9" spans="1:72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  <c r="BN9" s="1"/>
      <c r="BO9" s="1"/>
      <c r="BP9" s="1"/>
      <c r="BR9" s="251">
        <v>169</v>
      </c>
      <c r="BS9" s="251">
        <v>5</v>
      </c>
      <c r="BT9" s="251">
        <v>27</v>
      </c>
    </row>
    <row r="10" spans="1:72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  <c r="BN10" s="1"/>
      <c r="BO10" s="1"/>
      <c r="BP10" s="1"/>
      <c r="BR10" s="251">
        <v>209</v>
      </c>
      <c r="BS10" s="251">
        <v>11</v>
      </c>
      <c r="BT10" s="251">
        <v>33</v>
      </c>
    </row>
    <row r="11" spans="1:72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 s="1">
        <v>64</v>
      </c>
      <c r="BO11" s="1">
        <v>5</v>
      </c>
      <c r="BP11" s="1">
        <v>13</v>
      </c>
      <c r="BR11" s="251">
        <v>246</v>
      </c>
      <c r="BS11" s="251">
        <v>12</v>
      </c>
      <c r="BT11" s="251">
        <v>45</v>
      </c>
    </row>
    <row r="12" spans="1:72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 s="1">
        <v>114</v>
      </c>
      <c r="BO12" s="1">
        <v>10</v>
      </c>
      <c r="BP12" s="1">
        <v>46</v>
      </c>
      <c r="BR12" s="251">
        <v>256</v>
      </c>
      <c r="BS12" s="251">
        <v>13</v>
      </c>
      <c r="BT12" s="251">
        <v>51</v>
      </c>
    </row>
    <row r="13" spans="1:72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 s="1">
        <v>167</v>
      </c>
      <c r="BO13" s="1">
        <v>13</v>
      </c>
      <c r="BP13" s="1">
        <v>67</v>
      </c>
      <c r="BR13" s="251">
        <v>261</v>
      </c>
      <c r="BS13" s="251">
        <v>13</v>
      </c>
      <c r="BT13" s="251">
        <v>52</v>
      </c>
    </row>
    <row r="14" spans="1:72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 s="1">
        <v>294</v>
      </c>
      <c r="BO14" s="1">
        <v>18</v>
      </c>
      <c r="BP14" s="1">
        <v>71</v>
      </c>
      <c r="BR14" s="251">
        <v>303</v>
      </c>
      <c r="BS14" s="251">
        <v>13</v>
      </c>
      <c r="BT14" s="251">
        <v>54</v>
      </c>
    </row>
    <row r="15" spans="1:72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 s="1">
        <v>397</v>
      </c>
      <c r="BO15" s="1">
        <v>21</v>
      </c>
      <c r="BP15" s="1">
        <v>79</v>
      </c>
      <c r="BR15" s="251">
        <v>320</v>
      </c>
      <c r="BS15" s="251">
        <v>13</v>
      </c>
      <c r="BT15" s="251">
        <v>56</v>
      </c>
    </row>
    <row r="16" spans="1:72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 s="1">
        <v>441</v>
      </c>
      <c r="BO16" s="1">
        <v>21</v>
      </c>
      <c r="BP16" s="1">
        <v>88</v>
      </c>
      <c r="BR16" s="251">
        <v>332</v>
      </c>
      <c r="BS16" s="251">
        <v>13</v>
      </c>
      <c r="BT16" s="251">
        <v>58</v>
      </c>
    </row>
    <row r="17" spans="1:72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66" t="s">
        <v>65</v>
      </c>
      <c r="AY17" s="266"/>
      <c r="AZ17" s="266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 s="1">
        <v>458</v>
      </c>
      <c r="BO17" s="1">
        <v>22</v>
      </c>
      <c r="BP17" s="1">
        <v>92</v>
      </c>
      <c r="BR17" s="251">
        <v>345</v>
      </c>
      <c r="BS17" s="251">
        <v>13</v>
      </c>
      <c r="BT17" s="251">
        <v>58</v>
      </c>
    </row>
    <row r="18" spans="1:72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66" t="s">
        <v>62</v>
      </c>
      <c r="AY18" s="266"/>
      <c r="AZ18" s="266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 s="1">
        <v>459</v>
      </c>
      <c r="BO18" s="1">
        <v>22</v>
      </c>
      <c r="BP18" s="1">
        <v>93</v>
      </c>
      <c r="BR18" s="251">
        <v>350</v>
      </c>
      <c r="BS18" s="251">
        <v>13</v>
      </c>
      <c r="BT18" s="251">
        <v>58</v>
      </c>
    </row>
    <row r="19" spans="1:72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66" t="s">
        <v>63</v>
      </c>
      <c r="AY19" s="266"/>
      <c r="AZ19" s="266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 s="1">
        <v>477</v>
      </c>
      <c r="BO19" s="1">
        <v>23</v>
      </c>
      <c r="BP19" s="1">
        <v>101</v>
      </c>
      <c r="BR19" s="251">
        <v>351</v>
      </c>
      <c r="BS19" s="251">
        <v>13</v>
      </c>
      <c r="BT19" s="251">
        <v>58</v>
      </c>
    </row>
    <row r="20" spans="1:72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67" t="s">
        <v>64</v>
      </c>
      <c r="AY20" s="267"/>
      <c r="AZ20" s="267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 s="1">
        <v>502</v>
      </c>
      <c r="BO20" s="1">
        <v>23</v>
      </c>
      <c r="BP20" s="1">
        <v>109</v>
      </c>
      <c r="BR20" s="251">
        <v>357</v>
      </c>
      <c r="BS20" s="251">
        <v>13</v>
      </c>
      <c r="BT20" s="251">
        <v>63</v>
      </c>
    </row>
    <row r="21" spans="1:72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 s="1">
        <v>541</v>
      </c>
      <c r="BO21" s="1">
        <v>23</v>
      </c>
      <c r="BP21" s="1">
        <v>120</v>
      </c>
      <c r="BR21" s="251">
        <v>407</v>
      </c>
      <c r="BS21" s="251">
        <v>14</v>
      </c>
      <c r="BT21" s="251">
        <v>76</v>
      </c>
    </row>
    <row r="22" spans="1:72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54">
        <v>546</v>
      </c>
      <c r="BO22" s="54">
        <v>23</v>
      </c>
      <c r="BP22" s="54">
        <v>121</v>
      </c>
      <c r="BR22" s="54">
        <v>411</v>
      </c>
      <c r="BS22" s="54">
        <v>14</v>
      </c>
      <c r="BT22" s="54">
        <v>78</v>
      </c>
    </row>
    <row r="23" spans="1:72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72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72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72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72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72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72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72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72" x14ac:dyDescent="0.25">
      <c r="I31" s="3"/>
      <c r="R31"/>
      <c r="T31" s="3"/>
      <c r="AC31"/>
      <c r="AE31" s="1"/>
      <c r="AG31" s="20"/>
      <c r="AN31"/>
      <c r="AP31"/>
    </row>
    <row r="32" spans="1:72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10">
    <mergeCell ref="AX20:AZ20"/>
    <mergeCell ref="F2:P2"/>
    <mergeCell ref="R2:AB2"/>
    <mergeCell ref="AD2:AN2"/>
    <mergeCell ref="AP2:AZ2"/>
    <mergeCell ref="BN3:BP3"/>
    <mergeCell ref="BR3:BT3"/>
    <mergeCell ref="AX17:AZ17"/>
    <mergeCell ref="AX18:AZ18"/>
    <mergeCell ref="AX19:AZ19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100" customFormat="1" x14ac:dyDescent="0.25">
      <c r="B1" s="101"/>
      <c r="C1" s="101"/>
      <c r="D1" s="101"/>
      <c r="E1" s="101" t="s">
        <v>136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2004-2020.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2004-2020.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2004-2020.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2004-2020.</v>
      </c>
      <c r="BB1" s="102"/>
      <c r="BC1" s="102"/>
      <c r="BD1" s="102"/>
      <c r="BE1" s="103"/>
      <c r="BF1" s="103"/>
      <c r="BG1" s="103"/>
      <c r="BH1" s="103"/>
    </row>
    <row r="2" spans="1:71" s="100" customFormat="1" x14ac:dyDescent="0.25">
      <c r="B2" s="105"/>
      <c r="C2" s="105"/>
      <c r="D2" s="105"/>
      <c r="E2" s="282" t="s">
        <v>68</v>
      </c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106"/>
      <c r="Q2" s="282" t="s">
        <v>68</v>
      </c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107"/>
      <c r="AC2" s="282" t="s">
        <v>68</v>
      </c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104"/>
      <c r="AO2" s="283" t="s">
        <v>68</v>
      </c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BE2" s="103"/>
      <c r="BF2" s="103"/>
      <c r="BG2" s="103"/>
      <c r="BH2" s="103"/>
    </row>
    <row r="3" spans="1:71" s="9" customFormat="1" x14ac:dyDescent="0.25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27"/>
      <c r="BJ3" s="227">
        <v>2018</v>
      </c>
      <c r="BK3" s="98"/>
      <c r="BM3" s="42"/>
      <c r="BN3" s="247">
        <v>2019</v>
      </c>
      <c r="BO3" s="235"/>
      <c r="BQ3" s="42"/>
      <c r="BR3" s="250">
        <v>2020</v>
      </c>
      <c r="BS3" s="235"/>
    </row>
    <row r="4" spans="1:71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26" t="s">
        <v>17</v>
      </c>
      <c r="BJ4" s="226" t="s">
        <v>18</v>
      </c>
      <c r="BK4" s="99" t="s">
        <v>19</v>
      </c>
      <c r="BM4" s="226" t="s">
        <v>17</v>
      </c>
      <c r="BN4" s="226" t="s">
        <v>18</v>
      </c>
      <c r="BO4" s="99" t="s">
        <v>19</v>
      </c>
      <c r="BQ4" s="249" t="s">
        <v>17</v>
      </c>
      <c r="BR4" s="249" t="s">
        <v>18</v>
      </c>
      <c r="BS4" s="99" t="s">
        <v>19</v>
      </c>
    </row>
    <row r="5" spans="1:71" x14ac:dyDescent="0.25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  <c r="BQ5" s="3"/>
      <c r="BR5" s="3"/>
      <c r="BS5" s="97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  <c r="BQ6" s="3"/>
      <c r="BR6" s="3"/>
      <c r="BS6" s="97"/>
    </row>
    <row r="7" spans="1:71" x14ac:dyDescent="0.25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32">
        <v>1</v>
      </c>
      <c r="BM7" s="229">
        <v>201</v>
      </c>
      <c r="BN7" s="230">
        <v>0</v>
      </c>
      <c r="BO7" s="236">
        <v>3</v>
      </c>
      <c r="BQ7" s="229">
        <v>81</v>
      </c>
      <c r="BR7" s="229">
        <v>0</v>
      </c>
      <c r="BS7" s="253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32">
        <v>1</v>
      </c>
      <c r="BM8" s="237">
        <v>1089</v>
      </c>
      <c r="BN8" s="230">
        <v>0</v>
      </c>
      <c r="BO8" s="238">
        <v>4</v>
      </c>
      <c r="BQ8" s="237">
        <v>202</v>
      </c>
      <c r="BR8" s="237">
        <v>0</v>
      </c>
      <c r="BS8" s="253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32">
        <v>2</v>
      </c>
      <c r="BM9" s="237">
        <v>2718</v>
      </c>
      <c r="BN9" s="230">
        <v>0</v>
      </c>
      <c r="BO9" s="238">
        <v>5</v>
      </c>
      <c r="BQ9" s="237">
        <v>621</v>
      </c>
      <c r="BR9" s="237">
        <v>0</v>
      </c>
      <c r="BS9" s="253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32">
        <v>3</v>
      </c>
      <c r="BM10" s="237">
        <v>3625</v>
      </c>
      <c r="BN10" s="230">
        <v>0</v>
      </c>
      <c r="BO10" s="238">
        <v>5</v>
      </c>
      <c r="BQ10" s="237">
        <v>950</v>
      </c>
      <c r="BR10" s="237">
        <v>0</v>
      </c>
      <c r="BS10" s="253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32">
        <v>7</v>
      </c>
      <c r="BM11" s="237">
        <v>4160</v>
      </c>
      <c r="BN11" s="230">
        <v>0</v>
      </c>
      <c r="BO11" s="238">
        <v>5</v>
      </c>
      <c r="BQ11" s="237">
        <v>1160</v>
      </c>
      <c r="BR11" s="237">
        <v>0</v>
      </c>
      <c r="BS11" s="253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78" t="s">
        <v>78</v>
      </c>
      <c r="BF12" s="273"/>
      <c r="BG12" s="279"/>
      <c r="BH12" s="228"/>
      <c r="BI12" s="272" t="s">
        <v>78</v>
      </c>
      <c r="BJ12" s="273"/>
      <c r="BK12" s="274"/>
      <c r="BM12" s="231" t="s">
        <v>116</v>
      </c>
      <c r="BN12" s="230">
        <v>0</v>
      </c>
      <c r="BO12" s="239">
        <v>7</v>
      </c>
      <c r="BQ12" s="241" t="s">
        <v>132</v>
      </c>
      <c r="BR12" s="237">
        <v>0</v>
      </c>
      <c r="BS12" s="253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76"/>
      <c r="BF13" s="276"/>
      <c r="BG13" s="280"/>
      <c r="BH13" s="228"/>
      <c r="BI13" s="275"/>
      <c r="BJ13" s="276"/>
      <c r="BK13" s="277"/>
      <c r="BM13" s="269" t="s">
        <v>117</v>
      </c>
      <c r="BN13" s="270"/>
      <c r="BO13" s="271"/>
      <c r="BQ13" s="269" t="s">
        <v>117</v>
      </c>
      <c r="BR13" s="270"/>
      <c r="BS13" s="271"/>
    </row>
    <row r="14" spans="1:71" x14ac:dyDescent="0.25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32">
        <v>29</v>
      </c>
      <c r="BM14" s="237">
        <v>88</v>
      </c>
      <c r="BN14" s="230">
        <v>0</v>
      </c>
      <c r="BO14" s="238">
        <v>7</v>
      </c>
      <c r="BQ14" s="237">
        <v>97</v>
      </c>
      <c r="BR14" s="237">
        <v>506</v>
      </c>
      <c r="BS14" s="253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33">
        <v>1047</v>
      </c>
      <c r="BJ15" s="5">
        <v>61</v>
      </c>
      <c r="BK15" s="232">
        <v>37</v>
      </c>
      <c r="BM15" s="237">
        <v>274</v>
      </c>
      <c r="BN15" s="230">
        <v>0</v>
      </c>
      <c r="BO15" s="238">
        <v>8</v>
      </c>
      <c r="BQ15" s="237">
        <v>877</v>
      </c>
      <c r="BR15" s="237">
        <v>577</v>
      </c>
      <c r="BS15" s="253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33">
        <v>2658</v>
      </c>
      <c r="BJ16" s="5">
        <v>134</v>
      </c>
      <c r="BK16" s="232">
        <v>46</v>
      </c>
      <c r="BM16" s="237">
        <v>340</v>
      </c>
      <c r="BN16" s="240">
        <v>16</v>
      </c>
      <c r="BO16" s="238">
        <v>8</v>
      </c>
      <c r="BQ16" s="237">
        <v>2861</v>
      </c>
      <c r="BR16" s="237">
        <v>604</v>
      </c>
      <c r="BS16" s="253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33">
        <v>4472</v>
      </c>
      <c r="BJ17" s="5">
        <v>196</v>
      </c>
      <c r="BK17" s="232">
        <v>50</v>
      </c>
      <c r="BM17" s="237">
        <v>890</v>
      </c>
      <c r="BN17" s="240">
        <v>47</v>
      </c>
      <c r="BO17" s="238">
        <v>13</v>
      </c>
      <c r="BQ17" s="237">
        <v>5271</v>
      </c>
      <c r="BR17" s="237">
        <v>1106</v>
      </c>
      <c r="BS17" s="253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33">
        <v>6033</v>
      </c>
      <c r="BJ18" s="5">
        <v>252</v>
      </c>
      <c r="BK18" s="232">
        <v>51</v>
      </c>
      <c r="BM18" s="237">
        <v>1240</v>
      </c>
      <c r="BN18" s="240">
        <v>115</v>
      </c>
      <c r="BO18" s="238">
        <v>14</v>
      </c>
      <c r="BQ18" s="237">
        <v>6238</v>
      </c>
      <c r="BR18" s="237">
        <v>1475</v>
      </c>
      <c r="BS18" s="253">
        <v>16</v>
      </c>
    </row>
    <row r="19" spans="1:72" x14ac:dyDescent="0.25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33">
        <v>6815</v>
      </c>
      <c r="BJ19" s="5">
        <v>483</v>
      </c>
      <c r="BK19" s="232">
        <v>150</v>
      </c>
      <c r="BM19" s="237">
        <v>1373</v>
      </c>
      <c r="BN19" s="240">
        <v>242</v>
      </c>
      <c r="BO19" s="238">
        <v>14</v>
      </c>
      <c r="BQ19" s="237">
        <v>6978</v>
      </c>
      <c r="BR19" s="237">
        <v>1670</v>
      </c>
      <c r="BS19" s="253">
        <v>25</v>
      </c>
    </row>
    <row r="20" spans="1:72" x14ac:dyDescent="0.25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33">
        <v>7163</v>
      </c>
      <c r="BJ20" s="5">
        <v>615</v>
      </c>
      <c r="BK20" s="232">
        <v>331</v>
      </c>
      <c r="BM20" s="237">
        <v>1540</v>
      </c>
      <c r="BN20" s="240">
        <v>341</v>
      </c>
      <c r="BO20" s="238">
        <v>15</v>
      </c>
      <c r="BQ20" s="237">
        <v>7057</v>
      </c>
      <c r="BR20" s="237">
        <v>1836</v>
      </c>
      <c r="BS20" s="253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33">
        <v>7268</v>
      </c>
      <c r="BJ21" s="5">
        <v>652</v>
      </c>
      <c r="BK21" s="232">
        <v>530</v>
      </c>
      <c r="BM21" s="237">
        <v>1551</v>
      </c>
      <c r="BN21" s="240">
        <v>502</v>
      </c>
      <c r="BO21" s="238">
        <v>20</v>
      </c>
      <c r="BQ21" s="237">
        <v>7083</v>
      </c>
      <c r="BR21" s="237">
        <v>2141</v>
      </c>
      <c r="BS21" s="253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32">
        <v>583</v>
      </c>
      <c r="BM22" s="237">
        <v>1577</v>
      </c>
      <c r="BN22" s="240">
        <v>624</v>
      </c>
      <c r="BO22" s="238">
        <v>20</v>
      </c>
      <c r="BQ22" s="237">
        <v>7102</v>
      </c>
      <c r="BR22" s="237">
        <v>2327</v>
      </c>
      <c r="BS22" s="253">
        <v>41</v>
      </c>
      <c r="BT22" s="20"/>
    </row>
    <row r="23" spans="1:72" ht="16.2" thickBot="1" x14ac:dyDescent="0.3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33">
        <v>7296</v>
      </c>
      <c r="BJ23" s="5">
        <v>745</v>
      </c>
      <c r="BK23" s="232">
        <v>847</v>
      </c>
      <c r="BM23" s="241" t="s">
        <v>118</v>
      </c>
      <c r="BN23" s="240">
        <v>649</v>
      </c>
      <c r="BO23" s="238">
        <v>47</v>
      </c>
      <c r="BQ23" s="237">
        <v>7102</v>
      </c>
      <c r="BR23" s="237">
        <v>2327</v>
      </c>
      <c r="BS23" s="253">
        <v>41</v>
      </c>
      <c r="BT23" s="20" t="s">
        <v>134</v>
      </c>
    </row>
    <row r="24" spans="1:72" x14ac:dyDescent="0.25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33">
        <v>7303</v>
      </c>
      <c r="BJ24" s="3"/>
      <c r="BK24" s="232">
        <v>940</v>
      </c>
      <c r="BM24" s="242"/>
      <c r="BN24" s="242"/>
      <c r="BO24" s="238">
        <v>56</v>
      </c>
      <c r="BQ24" s="237">
        <v>7102</v>
      </c>
      <c r="BR24" s="237">
        <v>2331</v>
      </c>
      <c r="BS24" s="253">
        <v>66</v>
      </c>
    </row>
    <row r="25" spans="1:72" x14ac:dyDescent="0.25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33">
        <v>7304</v>
      </c>
      <c r="BJ25" s="3"/>
      <c r="BK25" s="232">
        <v>964</v>
      </c>
      <c r="BM25" s="242"/>
      <c r="BN25" s="242"/>
      <c r="BO25" s="238">
        <v>64</v>
      </c>
      <c r="BQ25" s="241" t="s">
        <v>133</v>
      </c>
      <c r="BR25" s="241">
        <v>2333</v>
      </c>
      <c r="BS25" s="253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33">
        <v>7305</v>
      </c>
      <c r="BJ26" s="3"/>
      <c r="BK26" s="232">
        <v>1119</v>
      </c>
      <c r="BM26" s="242"/>
      <c r="BN26" s="242"/>
      <c r="BO26" s="238">
        <v>74</v>
      </c>
      <c r="BQ26" s="237"/>
      <c r="BR26" s="237"/>
      <c r="BS26" s="253">
        <v>328</v>
      </c>
    </row>
    <row r="27" spans="1:72" ht="15.6" x14ac:dyDescent="0.25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32">
        <v>1665</v>
      </c>
      <c r="BM27" s="242"/>
      <c r="BN27" s="242"/>
      <c r="BO27" s="238">
        <v>123</v>
      </c>
      <c r="BQ27" s="237"/>
      <c r="BR27" s="237"/>
      <c r="BS27" s="253">
        <v>454</v>
      </c>
    </row>
    <row r="28" spans="1:72" x14ac:dyDescent="0.25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32">
        <v>1810</v>
      </c>
      <c r="BM28" s="242"/>
      <c r="BN28" s="242"/>
      <c r="BO28" s="238">
        <v>194</v>
      </c>
      <c r="BQ28" s="237"/>
      <c r="BR28" s="237"/>
      <c r="BS28" s="253">
        <v>495</v>
      </c>
    </row>
    <row r="29" spans="1:72" x14ac:dyDescent="0.25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32">
        <v>1833</v>
      </c>
      <c r="BM29" s="242"/>
      <c r="BN29" s="242"/>
      <c r="BO29" s="238">
        <v>319</v>
      </c>
      <c r="BQ29" s="237"/>
      <c r="BR29" s="237"/>
      <c r="BS29" s="253">
        <v>534</v>
      </c>
    </row>
    <row r="30" spans="1:72" x14ac:dyDescent="0.25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32">
        <v>1850</v>
      </c>
      <c r="BM30" s="242"/>
      <c r="BN30" s="242"/>
      <c r="BO30" s="238">
        <v>342</v>
      </c>
      <c r="BQ30" s="237"/>
      <c r="BR30" s="237"/>
      <c r="BS30" s="253">
        <v>547</v>
      </c>
    </row>
    <row r="31" spans="1:72" x14ac:dyDescent="0.25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32">
        <v>1852</v>
      </c>
      <c r="BM31" s="242"/>
      <c r="BN31" s="242"/>
      <c r="BO31" s="238">
        <v>364</v>
      </c>
      <c r="BQ31" s="237"/>
      <c r="BR31" s="237"/>
      <c r="BS31" s="253">
        <v>569</v>
      </c>
    </row>
    <row r="32" spans="1:72" x14ac:dyDescent="0.25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32">
        <v>1873</v>
      </c>
      <c r="BM32" s="242"/>
      <c r="BN32" s="242"/>
      <c r="BO32" s="238">
        <v>378</v>
      </c>
      <c r="BQ32" s="237"/>
      <c r="BR32" s="237"/>
      <c r="BS32" s="253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34">
        <v>1897</v>
      </c>
      <c r="BM33" s="87">
        <v>6064</v>
      </c>
      <c r="BN33" s="54">
        <v>649</v>
      </c>
      <c r="BO33" s="243">
        <v>386</v>
      </c>
      <c r="BQ33" s="252">
        <f>7103+1260</f>
        <v>8363</v>
      </c>
      <c r="BR33" s="252">
        <v>2333</v>
      </c>
      <c r="BS33" s="254">
        <v>585</v>
      </c>
    </row>
    <row r="34" spans="1:71" x14ac:dyDescent="0.25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1" x14ac:dyDescent="0.25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  <c r="BQ35" s="20" t="s">
        <v>79</v>
      </c>
    </row>
    <row r="36" spans="1:71" ht="13.2" customHeight="1" x14ac:dyDescent="0.25">
      <c r="U36" s="7"/>
      <c r="V36" s="7"/>
      <c r="AK36" s="281" t="s">
        <v>52</v>
      </c>
      <c r="AL36" s="281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  <c r="BQ36" s="20" t="s">
        <v>80</v>
      </c>
    </row>
    <row r="37" spans="1:71" x14ac:dyDescent="0.25">
      <c r="AK37" s="281"/>
      <c r="AL37" s="281"/>
      <c r="AV37" s="97"/>
      <c r="BD37" s="97"/>
      <c r="BQ37" s="20" t="s">
        <v>135</v>
      </c>
    </row>
    <row r="38" spans="1:71" x14ac:dyDescent="0.25">
      <c r="A38" s="9" t="s">
        <v>47</v>
      </c>
      <c r="AK38" s="281"/>
      <c r="AL38" s="281"/>
      <c r="AV38" s="97"/>
      <c r="BD38" s="97"/>
    </row>
  </sheetData>
  <mergeCells count="9">
    <mergeCell ref="E2:O2"/>
    <mergeCell ref="AO2:AY2"/>
    <mergeCell ref="Q2:AA2"/>
    <mergeCell ref="AC2:AM2"/>
    <mergeCell ref="BQ13:BS13"/>
    <mergeCell ref="BM13:BO13"/>
    <mergeCell ref="BI12:BK13"/>
    <mergeCell ref="BE12:BG13"/>
    <mergeCell ref="AK36:AL38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44140625" style="20" bestFit="1" customWidth="1"/>
    <col min="8" max="8" width="2.44140625" style="20" customWidth="1"/>
    <col min="9" max="9" width="9.44140625" style="20" bestFit="1" customWidth="1"/>
    <col min="10" max="10" width="9.33203125" style="20" bestFit="1" customWidth="1"/>
    <col min="11" max="11" width="9.44140625" style="20" bestFit="1" customWidth="1"/>
    <col min="12" max="12" width="2.44140625" style="20" customWidth="1"/>
    <col min="13" max="13" width="9.44140625" style="20" bestFit="1" customWidth="1"/>
    <col min="14" max="14" width="9.33203125" style="20" bestFit="1" customWidth="1"/>
    <col min="15" max="15" width="9.44140625" style="20" bestFit="1" customWidth="1"/>
    <col min="16" max="16" width="2.44140625" style="20" customWidth="1"/>
    <col min="17" max="17" width="9.44140625" style="20" bestFit="1" customWidth="1"/>
    <col min="18" max="18" width="9.33203125" style="20" bestFit="1" customWidth="1"/>
    <col min="19" max="19" width="9.44140625" style="20" bestFit="1" customWidth="1"/>
    <col min="20" max="20" width="2.44140625" style="20" customWidth="1"/>
    <col min="21" max="21" width="9.44140625" style="20" bestFit="1" customWidth="1"/>
    <col min="22" max="23" width="9.33203125" style="20" bestFit="1" customWidth="1"/>
    <col min="24" max="24" width="2.44140625" style="20" customWidth="1"/>
    <col min="25" max="25" width="9.44140625" style="20" bestFit="1" customWidth="1"/>
    <col min="26" max="26" width="9.33203125" style="20" bestFit="1" customWidth="1"/>
    <col min="27" max="27" width="9.44140625" style="20" bestFit="1" customWidth="1"/>
    <col min="28" max="28" width="2.44140625" style="20" customWidth="1"/>
    <col min="29" max="29" width="9.44140625" style="20" bestFit="1" customWidth="1"/>
    <col min="30" max="31" width="9.33203125" style="20" bestFit="1" customWidth="1"/>
    <col min="32" max="32" width="2.44140625" style="20" customWidth="1"/>
    <col min="33" max="33" width="9.44140625" style="20" bestFit="1" customWidth="1"/>
    <col min="34" max="34" width="9.33203125" style="20" bestFit="1" customWidth="1"/>
    <col min="35" max="35" width="9.44140625" style="20" bestFit="1" customWidth="1"/>
    <col min="36" max="36" width="2.44140625" style="20" customWidth="1"/>
    <col min="37" max="37" width="9.44140625" style="20" bestFit="1" customWidth="1"/>
    <col min="38" max="38" width="9.33203125" style="20" bestFit="1" customWidth="1"/>
    <col min="39" max="39" width="9.44140625" style="20" bestFit="1" customWidth="1"/>
    <col min="40" max="40" width="2.44140625" style="20" customWidth="1"/>
    <col min="41" max="42" width="9.33203125" style="20" bestFit="1" customWidth="1"/>
    <col min="43" max="43" width="9.44140625" style="23" bestFit="1" customWidth="1"/>
    <col min="44" max="44" width="2.44140625" style="20" customWidth="1"/>
    <col min="45" max="47" width="9.44140625" style="20" bestFit="1" customWidth="1"/>
    <col min="48" max="48" width="2.44140625" style="20" customWidth="1"/>
    <col min="49" max="50" width="9.33203125" style="20" bestFit="1" customWidth="1"/>
    <col min="51" max="51" width="9.44140625" style="20" bestFit="1" customWidth="1"/>
    <col min="52" max="52" width="9.109375" style="20" hidden="1" customWidth="1"/>
    <col min="53" max="55" width="9.33203125" style="20" bestFit="1" customWidth="1"/>
    <col min="56" max="56" width="2" style="20" customWidth="1"/>
    <col min="57" max="57" width="9.44140625" style="20" bestFit="1" customWidth="1"/>
    <col min="58" max="59" width="9.33203125" style="20" bestFit="1" customWidth="1"/>
    <col min="60" max="60" width="2" style="20" customWidth="1"/>
    <col min="61" max="61" width="9.44140625" style="20" bestFit="1" customWidth="1"/>
    <col min="62" max="62" width="9.33203125" style="20" bestFit="1" customWidth="1"/>
    <col min="63" max="63" width="9.109375" style="20" customWidth="1"/>
    <col min="64" max="64" width="1.6640625" style="20" customWidth="1"/>
    <col min="65" max="67" width="9.33203125" style="20" customWidth="1"/>
    <col min="68" max="68" width="2" style="20" customWidth="1"/>
    <col min="69" max="16384" width="9.109375" style="20"/>
  </cols>
  <sheetData>
    <row r="1" spans="1:71" s="9" customFormat="1" x14ac:dyDescent="0.25">
      <c r="B1" s="15"/>
      <c r="C1" s="15"/>
      <c r="D1" s="15"/>
      <c r="E1" s="15" t="s">
        <v>137</v>
      </c>
      <c r="F1" s="15"/>
      <c r="G1" s="15"/>
      <c r="H1" s="15"/>
      <c r="I1" s="15"/>
      <c r="Q1" s="15" t="str">
        <f>E1</f>
        <v>Willow Creek weir, cumulative weekly trapping totals, 2004-2020.</v>
      </c>
      <c r="AC1" s="15" t="str">
        <f>E1</f>
        <v>Willow Creek weir, cumulative weekly trapping totals, 2004-2020.</v>
      </c>
      <c r="AG1" s="20"/>
      <c r="AH1" s="20"/>
      <c r="AI1" s="20"/>
      <c r="AO1" s="15" t="str">
        <f>E1</f>
        <v>Willow Creek weir, cumulative weekly trapping totals, 2004-2020.</v>
      </c>
      <c r="AQ1" s="13"/>
      <c r="BA1" s="15" t="str">
        <f>E1</f>
        <v>Willow Creek weir, cumulative weekly trapping totals, 2004-2020.</v>
      </c>
      <c r="BC1" s="13"/>
    </row>
    <row r="2" spans="1:71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84">
        <v>2015</v>
      </c>
      <c r="AX2" s="284"/>
      <c r="AY2" s="284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84">
        <v>2018</v>
      </c>
      <c r="BJ2" s="284"/>
      <c r="BK2" s="284"/>
      <c r="BL2" s="210"/>
      <c r="BM2" s="266">
        <v>2019</v>
      </c>
      <c r="BN2" s="266"/>
      <c r="BO2" s="266"/>
      <c r="BQ2" s="266">
        <v>2020</v>
      </c>
      <c r="BR2" s="266"/>
      <c r="BS2" s="266"/>
    </row>
    <row r="3" spans="1:71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11"/>
      <c r="BM3" s="213" t="s">
        <v>17</v>
      </c>
      <c r="BN3" s="213" t="s">
        <v>18</v>
      </c>
      <c r="BO3" s="213" t="s">
        <v>19</v>
      </c>
      <c r="BQ3" s="213" t="s">
        <v>17</v>
      </c>
      <c r="BR3" s="213" t="s">
        <v>18</v>
      </c>
      <c r="BS3" s="213" t="s">
        <v>19</v>
      </c>
    </row>
    <row r="4" spans="1:71" x14ac:dyDescent="0.25">
      <c r="A4" s="23">
        <v>34</v>
      </c>
      <c r="B4" s="49">
        <v>40410</v>
      </c>
      <c r="C4" s="58" t="s">
        <v>70</v>
      </c>
      <c r="D4" s="49">
        <v>40416</v>
      </c>
      <c r="E4" s="214"/>
      <c r="F4" s="214"/>
      <c r="G4" s="214"/>
      <c r="H4" s="214"/>
      <c r="I4" s="214">
        <v>108</v>
      </c>
      <c r="J4" s="214">
        <v>0</v>
      </c>
      <c r="K4" s="214">
        <v>244</v>
      </c>
      <c r="L4" s="214"/>
      <c r="M4" s="214">
        <v>170</v>
      </c>
      <c r="N4" s="214">
        <v>0</v>
      </c>
      <c r="O4" s="214">
        <v>206</v>
      </c>
      <c r="P4" s="214"/>
      <c r="Q4" s="215">
        <v>96</v>
      </c>
      <c r="R4" s="214">
        <v>0</v>
      </c>
      <c r="S4" s="214">
        <v>420</v>
      </c>
      <c r="T4" s="214"/>
      <c r="U4" s="215">
        <v>201</v>
      </c>
      <c r="V4" s="214">
        <v>1</v>
      </c>
      <c r="W4" s="214">
        <v>119</v>
      </c>
      <c r="X4" s="214"/>
      <c r="Y4" s="214"/>
      <c r="Z4" s="214"/>
      <c r="AA4" s="214"/>
      <c r="AB4" s="214"/>
      <c r="AC4" s="214">
        <v>188</v>
      </c>
      <c r="AD4" s="214">
        <v>0</v>
      </c>
      <c r="AE4" s="214">
        <v>72</v>
      </c>
      <c r="AF4" s="214"/>
      <c r="AG4" s="214"/>
      <c r="AH4" s="214"/>
      <c r="AI4" s="214"/>
      <c r="AJ4" s="214"/>
      <c r="AK4" s="215">
        <v>108</v>
      </c>
      <c r="AL4" s="214">
        <v>0</v>
      </c>
      <c r="AM4" s="214">
        <v>109</v>
      </c>
      <c r="AN4" s="214"/>
      <c r="AO4" s="214"/>
      <c r="AP4" s="214"/>
      <c r="AQ4" s="214"/>
      <c r="AR4" s="214"/>
      <c r="AS4" s="216"/>
      <c r="AT4" s="216"/>
      <c r="AU4" s="216"/>
      <c r="AV4" s="216"/>
      <c r="AW4" s="216"/>
      <c r="AX4" s="216"/>
      <c r="AY4" s="216"/>
      <c r="AZ4" s="216"/>
      <c r="BA4" s="215">
        <v>6</v>
      </c>
      <c r="BB4" s="214"/>
      <c r="BC4" s="214">
        <v>9</v>
      </c>
      <c r="BD4" s="214"/>
      <c r="BE4" s="216"/>
      <c r="BF4" s="216"/>
      <c r="BG4" s="217"/>
      <c r="BH4" s="216"/>
      <c r="BI4" s="216"/>
      <c r="BJ4" s="216"/>
      <c r="BK4" s="216"/>
      <c r="BL4" s="216"/>
      <c r="BM4" s="214"/>
      <c r="BN4" s="214"/>
      <c r="BO4" s="214"/>
      <c r="BQ4" s="214"/>
      <c r="BR4" s="214"/>
      <c r="BS4" s="214"/>
    </row>
    <row r="5" spans="1:71" x14ac:dyDescent="0.25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14"/>
      <c r="F5" s="214"/>
      <c r="G5" s="214"/>
      <c r="H5" s="214"/>
      <c r="I5" s="214">
        <v>153</v>
      </c>
      <c r="J5" s="214">
        <v>0</v>
      </c>
      <c r="K5" s="214">
        <v>337</v>
      </c>
      <c r="L5" s="214"/>
      <c r="M5" s="214">
        <v>272</v>
      </c>
      <c r="N5" s="214">
        <v>0</v>
      </c>
      <c r="O5" s="214">
        <v>353</v>
      </c>
      <c r="P5" s="214"/>
      <c r="Q5" s="215">
        <v>135</v>
      </c>
      <c r="R5" s="214">
        <v>0</v>
      </c>
      <c r="S5" s="214">
        <v>953</v>
      </c>
      <c r="T5" s="214"/>
      <c r="U5" s="215">
        <v>397</v>
      </c>
      <c r="V5" s="214">
        <v>3</v>
      </c>
      <c r="W5" s="214">
        <v>184</v>
      </c>
      <c r="X5" s="214"/>
      <c r="Y5" s="214">
        <v>94</v>
      </c>
      <c r="Z5" s="214">
        <v>0</v>
      </c>
      <c r="AA5" s="214">
        <v>33</v>
      </c>
      <c r="AB5" s="214"/>
      <c r="AC5" s="214">
        <v>330</v>
      </c>
      <c r="AD5" s="214">
        <v>0</v>
      </c>
      <c r="AE5" s="214">
        <v>136</v>
      </c>
      <c r="AF5" s="214"/>
      <c r="AG5" s="214"/>
      <c r="AH5" s="214"/>
      <c r="AI5" s="214"/>
      <c r="AJ5" s="214"/>
      <c r="AK5" s="214">
        <f>269+AK4</f>
        <v>377</v>
      </c>
      <c r="AL5" s="214">
        <v>0</v>
      </c>
      <c r="AM5" s="214">
        <v>222</v>
      </c>
      <c r="AN5" s="214"/>
      <c r="AO5" s="222">
        <v>42</v>
      </c>
      <c r="AP5" s="214">
        <v>1</v>
      </c>
      <c r="AQ5" s="214">
        <v>230</v>
      </c>
      <c r="AR5" s="214"/>
      <c r="AS5" s="214"/>
      <c r="AT5" s="214"/>
      <c r="AU5" s="214"/>
      <c r="AV5" s="214"/>
      <c r="AW5" s="215">
        <v>24</v>
      </c>
      <c r="AX5" s="214">
        <v>0</v>
      </c>
      <c r="AY5" s="214">
        <v>55</v>
      </c>
      <c r="AZ5" s="214"/>
      <c r="BA5" s="218">
        <v>63</v>
      </c>
      <c r="BB5" s="214"/>
      <c r="BC5" s="214">
        <v>134</v>
      </c>
      <c r="BD5" s="214"/>
      <c r="BE5" s="214">
        <v>7</v>
      </c>
      <c r="BF5" s="214">
        <v>0</v>
      </c>
      <c r="BG5" s="216">
        <v>44</v>
      </c>
      <c r="BH5" s="214"/>
      <c r="BI5" s="214">
        <v>48</v>
      </c>
      <c r="BJ5" s="214"/>
      <c r="BK5" s="214">
        <v>37</v>
      </c>
      <c r="BL5" s="214"/>
      <c r="BM5" s="214"/>
      <c r="BN5" s="214"/>
      <c r="BO5" s="214"/>
      <c r="BQ5" s="214"/>
      <c r="BR5" s="214"/>
      <c r="BS5" s="214"/>
    </row>
    <row r="6" spans="1:71" x14ac:dyDescent="0.25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14"/>
      <c r="F6" s="214"/>
      <c r="G6" s="214"/>
      <c r="H6" s="214"/>
      <c r="I6" s="214">
        <v>316</v>
      </c>
      <c r="J6" s="214">
        <v>2</v>
      </c>
      <c r="K6" s="214">
        <v>481</v>
      </c>
      <c r="L6" s="214"/>
      <c r="M6" s="214">
        <v>452</v>
      </c>
      <c r="N6" s="214">
        <v>4</v>
      </c>
      <c r="O6" s="214">
        <v>518</v>
      </c>
      <c r="P6" s="214"/>
      <c r="Q6" s="215">
        <v>261</v>
      </c>
      <c r="R6" s="214">
        <v>0</v>
      </c>
      <c r="S6" s="214">
        <v>1220</v>
      </c>
      <c r="T6" s="214"/>
      <c r="U6" s="214">
        <v>687</v>
      </c>
      <c r="V6" s="214">
        <v>3</v>
      </c>
      <c r="W6" s="214">
        <v>225</v>
      </c>
      <c r="X6" s="214"/>
      <c r="Y6" s="214">
        <v>264</v>
      </c>
      <c r="Z6" s="214">
        <v>0</v>
      </c>
      <c r="AA6" s="214">
        <v>68</v>
      </c>
      <c r="AB6" s="214"/>
      <c r="AC6" s="214">
        <v>475</v>
      </c>
      <c r="AD6" s="214">
        <v>2</v>
      </c>
      <c r="AE6" s="214">
        <v>212</v>
      </c>
      <c r="AF6" s="214"/>
      <c r="AG6" s="214">
        <v>134</v>
      </c>
      <c r="AH6" s="214">
        <v>2</v>
      </c>
      <c r="AI6" s="214">
        <v>102</v>
      </c>
      <c r="AJ6" s="214"/>
      <c r="AK6" s="214">
        <v>681</v>
      </c>
      <c r="AL6" s="214">
        <v>1</v>
      </c>
      <c r="AM6" s="214">
        <v>293</v>
      </c>
      <c r="AN6" s="214"/>
      <c r="AO6" s="222">
        <v>131</v>
      </c>
      <c r="AP6" s="214">
        <v>1</v>
      </c>
      <c r="AQ6" s="214">
        <v>377</v>
      </c>
      <c r="AR6" s="214"/>
      <c r="AS6" s="214">
        <v>75</v>
      </c>
      <c r="AT6" s="214">
        <v>0</v>
      </c>
      <c r="AU6" s="214">
        <v>70</v>
      </c>
      <c r="AV6" s="214"/>
      <c r="AW6" s="214">
        <v>49</v>
      </c>
      <c r="AX6" s="214">
        <v>1</v>
      </c>
      <c r="AY6" s="214">
        <v>76</v>
      </c>
      <c r="AZ6" s="214"/>
      <c r="BA6" s="218">
        <v>135</v>
      </c>
      <c r="BB6" s="214"/>
      <c r="BC6" s="214">
        <v>184</v>
      </c>
      <c r="BD6" s="214"/>
      <c r="BE6" s="214">
        <v>141</v>
      </c>
      <c r="BF6" s="214">
        <v>0</v>
      </c>
      <c r="BG6" s="214">
        <v>91</v>
      </c>
      <c r="BH6" s="214"/>
      <c r="BI6" s="214">
        <v>116</v>
      </c>
      <c r="BJ6" s="214"/>
      <c r="BK6" s="214">
        <v>86</v>
      </c>
      <c r="BL6" s="214"/>
      <c r="BM6" s="214"/>
      <c r="BN6" s="214"/>
      <c r="BO6" s="214"/>
      <c r="BQ6" s="214"/>
      <c r="BR6" s="214"/>
      <c r="BS6" s="214"/>
    </row>
    <row r="7" spans="1:71" x14ac:dyDescent="0.25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14">
        <v>274</v>
      </c>
      <c r="F7" s="214">
        <v>9</v>
      </c>
      <c r="G7" s="214">
        <v>31</v>
      </c>
      <c r="H7" s="214"/>
      <c r="I7" s="214">
        <v>676</v>
      </c>
      <c r="J7" s="214">
        <v>4</v>
      </c>
      <c r="K7" s="214">
        <v>584</v>
      </c>
      <c r="L7" s="214"/>
      <c r="M7" s="214">
        <v>565</v>
      </c>
      <c r="N7" s="214">
        <v>12</v>
      </c>
      <c r="O7" s="214">
        <v>658</v>
      </c>
      <c r="P7" s="214"/>
      <c r="Q7" s="214">
        <v>368</v>
      </c>
      <c r="R7" s="214">
        <v>0</v>
      </c>
      <c r="S7" s="214">
        <v>1345</v>
      </c>
      <c r="T7" s="214"/>
      <c r="U7" s="214">
        <v>1139</v>
      </c>
      <c r="V7" s="214">
        <v>4</v>
      </c>
      <c r="W7" s="214">
        <v>262</v>
      </c>
      <c r="X7" s="214"/>
      <c r="Y7" s="214">
        <v>521</v>
      </c>
      <c r="Z7" s="214">
        <v>10</v>
      </c>
      <c r="AA7" s="214">
        <v>221</v>
      </c>
      <c r="AB7" s="214"/>
      <c r="AC7" s="214">
        <v>599</v>
      </c>
      <c r="AD7" s="214">
        <v>7</v>
      </c>
      <c r="AE7" s="214">
        <v>239</v>
      </c>
      <c r="AF7" s="214"/>
      <c r="AG7" s="214">
        <v>646</v>
      </c>
      <c r="AH7" s="214">
        <v>5</v>
      </c>
      <c r="AI7" s="214">
        <v>333</v>
      </c>
      <c r="AJ7" s="214"/>
      <c r="AK7" s="214">
        <f>282+AK6</f>
        <v>963</v>
      </c>
      <c r="AL7" s="214">
        <v>1</v>
      </c>
      <c r="AM7" s="214">
        <v>450</v>
      </c>
      <c r="AN7" s="214"/>
      <c r="AO7" s="222">
        <v>247</v>
      </c>
      <c r="AP7" s="214">
        <f>5+AP6</f>
        <v>6</v>
      </c>
      <c r="AQ7" s="214">
        <v>595</v>
      </c>
      <c r="AR7" s="214"/>
      <c r="AS7" s="214">
        <v>311</v>
      </c>
      <c r="AT7" s="214">
        <v>38</v>
      </c>
      <c r="AU7" s="214">
        <f>AU6+161</f>
        <v>231</v>
      </c>
      <c r="AV7" s="214"/>
      <c r="AW7" s="214">
        <v>52</v>
      </c>
      <c r="AX7" s="214">
        <v>1</v>
      </c>
      <c r="AY7" s="214">
        <v>109</v>
      </c>
      <c r="AZ7" s="214"/>
      <c r="BA7" s="217">
        <v>220</v>
      </c>
      <c r="BB7" s="214">
        <v>1</v>
      </c>
      <c r="BC7" s="214">
        <v>284</v>
      </c>
      <c r="BD7" s="214"/>
      <c r="BE7" s="214">
        <v>318</v>
      </c>
      <c r="BF7" s="214">
        <v>0</v>
      </c>
      <c r="BG7" s="214">
        <v>211</v>
      </c>
      <c r="BH7" s="214"/>
      <c r="BI7" s="214">
        <v>169</v>
      </c>
      <c r="BJ7" s="214"/>
      <c r="BK7" s="214">
        <v>101</v>
      </c>
      <c r="BL7" s="214"/>
      <c r="BM7" s="214">
        <v>401</v>
      </c>
      <c r="BN7" s="214">
        <v>2</v>
      </c>
      <c r="BO7" s="214">
        <v>138</v>
      </c>
      <c r="BP7" s="223"/>
      <c r="BQ7" s="255">
        <v>0</v>
      </c>
      <c r="BR7" s="214">
        <v>0</v>
      </c>
      <c r="BS7" s="214">
        <v>13</v>
      </c>
    </row>
    <row r="8" spans="1:71" x14ac:dyDescent="0.25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14">
        <v>686</v>
      </c>
      <c r="F8" s="214">
        <v>36</v>
      </c>
      <c r="G8" s="214">
        <v>132</v>
      </c>
      <c r="H8" s="214"/>
      <c r="I8" s="214">
        <v>1054</v>
      </c>
      <c r="J8" s="214">
        <v>36</v>
      </c>
      <c r="K8" s="214">
        <v>834</v>
      </c>
      <c r="L8" s="214"/>
      <c r="M8" s="214">
        <v>677</v>
      </c>
      <c r="N8" s="214">
        <v>44</v>
      </c>
      <c r="O8" s="214">
        <v>771</v>
      </c>
      <c r="P8" s="214"/>
      <c r="Q8" s="214">
        <v>547</v>
      </c>
      <c r="R8" s="214">
        <v>0</v>
      </c>
      <c r="S8" s="214">
        <v>1438</v>
      </c>
      <c r="T8" s="214"/>
      <c r="U8" s="214">
        <v>1387</v>
      </c>
      <c r="V8" s="214">
        <v>17</v>
      </c>
      <c r="W8" s="214">
        <v>307</v>
      </c>
      <c r="X8" s="214"/>
      <c r="Y8" s="214">
        <v>830</v>
      </c>
      <c r="Z8" s="214">
        <v>35</v>
      </c>
      <c r="AA8" s="214">
        <v>535</v>
      </c>
      <c r="AB8" s="214"/>
      <c r="AC8" s="214">
        <v>733</v>
      </c>
      <c r="AD8" s="214">
        <v>27</v>
      </c>
      <c r="AE8" s="214">
        <v>519</v>
      </c>
      <c r="AF8" s="214"/>
      <c r="AG8" s="214">
        <v>1109</v>
      </c>
      <c r="AH8" s="214">
        <v>24</v>
      </c>
      <c r="AI8" s="214">
        <v>477</v>
      </c>
      <c r="AJ8" s="214"/>
      <c r="AK8" s="214">
        <f>351+AK7</f>
        <v>1314</v>
      </c>
      <c r="AL8" s="214">
        <v>12</v>
      </c>
      <c r="AM8" s="214">
        <v>719</v>
      </c>
      <c r="AN8" s="214"/>
      <c r="AO8" s="222">
        <v>296</v>
      </c>
      <c r="AP8" s="214">
        <v>7</v>
      </c>
      <c r="AQ8" s="214">
        <v>743</v>
      </c>
      <c r="AR8" s="214"/>
      <c r="AS8" s="214">
        <v>346</v>
      </c>
      <c r="AT8" s="214">
        <v>42</v>
      </c>
      <c r="AU8" s="214">
        <f>AU7+56</f>
        <v>287</v>
      </c>
      <c r="AV8" s="214"/>
      <c r="AW8" s="214">
        <v>150</v>
      </c>
      <c r="AX8" s="214">
        <v>12</v>
      </c>
      <c r="AY8" s="214">
        <v>227</v>
      </c>
      <c r="AZ8" s="214"/>
      <c r="BA8" s="217">
        <v>308</v>
      </c>
      <c r="BB8" s="214">
        <v>1</v>
      </c>
      <c r="BC8" s="214">
        <v>383</v>
      </c>
      <c r="BD8" s="214"/>
      <c r="BE8" s="214">
        <v>652</v>
      </c>
      <c r="BF8" s="214">
        <v>0</v>
      </c>
      <c r="BG8" s="214">
        <v>263</v>
      </c>
      <c r="BH8" s="214"/>
      <c r="BI8" s="214">
        <v>339</v>
      </c>
      <c r="BJ8" s="214"/>
      <c r="BK8" s="214">
        <v>128</v>
      </c>
      <c r="BL8" s="214"/>
      <c r="BM8" s="214">
        <v>593</v>
      </c>
      <c r="BN8" s="214">
        <v>3</v>
      </c>
      <c r="BO8" s="214">
        <v>281</v>
      </c>
      <c r="BP8" s="223"/>
      <c r="BQ8" s="214">
        <v>5</v>
      </c>
      <c r="BR8" s="214">
        <v>1</v>
      </c>
      <c r="BS8" s="214">
        <v>28</v>
      </c>
    </row>
    <row r="9" spans="1:71" x14ac:dyDescent="0.25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14">
        <v>1304</v>
      </c>
      <c r="F9" s="214">
        <v>145</v>
      </c>
      <c r="G9" s="214">
        <v>503</v>
      </c>
      <c r="H9" s="214"/>
      <c r="I9" s="214">
        <v>1162</v>
      </c>
      <c r="J9" s="214">
        <v>133</v>
      </c>
      <c r="K9" s="214">
        <v>1028</v>
      </c>
      <c r="L9" s="214"/>
      <c r="M9" s="214">
        <v>826</v>
      </c>
      <c r="N9" s="214">
        <v>66</v>
      </c>
      <c r="O9" s="214">
        <v>1073</v>
      </c>
      <c r="P9" s="214"/>
      <c r="Q9" s="214">
        <v>762</v>
      </c>
      <c r="R9" s="214">
        <v>2</v>
      </c>
      <c r="S9" s="214">
        <v>1627</v>
      </c>
      <c r="T9" s="214"/>
      <c r="U9" s="214">
        <v>1676</v>
      </c>
      <c r="V9" s="214">
        <v>71</v>
      </c>
      <c r="W9" s="214">
        <v>416</v>
      </c>
      <c r="X9" s="214"/>
      <c r="Y9" s="214">
        <v>1021</v>
      </c>
      <c r="Z9" s="214">
        <v>109</v>
      </c>
      <c r="AA9" s="214">
        <v>870</v>
      </c>
      <c r="AB9" s="214"/>
      <c r="AC9" s="214">
        <v>921</v>
      </c>
      <c r="AD9" s="214">
        <v>300</v>
      </c>
      <c r="AE9" s="214">
        <v>649</v>
      </c>
      <c r="AF9" s="214"/>
      <c r="AG9" s="214">
        <v>1339</v>
      </c>
      <c r="AH9" s="214">
        <v>89</v>
      </c>
      <c r="AI9" s="214">
        <v>770</v>
      </c>
      <c r="AJ9" s="214"/>
      <c r="AK9" s="214">
        <f>401+AK8</f>
        <v>1715</v>
      </c>
      <c r="AL9" s="214">
        <f>157+AL8</f>
        <v>169</v>
      </c>
      <c r="AM9" s="214">
        <v>1316</v>
      </c>
      <c r="AN9" s="214"/>
      <c r="AO9" s="222">
        <v>335</v>
      </c>
      <c r="AP9" s="214">
        <v>29</v>
      </c>
      <c r="AQ9" s="214">
        <v>1024</v>
      </c>
      <c r="AR9" s="214"/>
      <c r="AS9" s="214">
        <v>419</v>
      </c>
      <c r="AT9" s="214">
        <v>333</v>
      </c>
      <c r="AU9" s="214">
        <f>AU8+229</f>
        <v>516</v>
      </c>
      <c r="AV9" s="214"/>
      <c r="AW9" s="214">
        <v>300</v>
      </c>
      <c r="AX9" s="214">
        <v>38</v>
      </c>
      <c r="AY9" s="214">
        <v>335</v>
      </c>
      <c r="AZ9" s="214"/>
      <c r="BA9" s="217">
        <v>428</v>
      </c>
      <c r="BB9" s="214">
        <v>1</v>
      </c>
      <c r="BC9" s="214">
        <v>478</v>
      </c>
      <c r="BD9" s="214"/>
      <c r="BE9" s="214">
        <v>1284</v>
      </c>
      <c r="BF9" s="214">
        <v>4</v>
      </c>
      <c r="BG9" s="214">
        <v>369</v>
      </c>
      <c r="BH9" s="214"/>
      <c r="BI9" s="214">
        <v>855</v>
      </c>
      <c r="BJ9" s="214">
        <v>2</v>
      </c>
      <c r="BK9" s="214">
        <v>214</v>
      </c>
      <c r="BL9" s="214"/>
      <c r="BM9" s="214">
        <v>824</v>
      </c>
      <c r="BN9" s="214">
        <v>18</v>
      </c>
      <c r="BO9" s="214">
        <v>375</v>
      </c>
      <c r="BP9" s="223"/>
      <c r="BQ9" s="214">
        <v>56</v>
      </c>
      <c r="BR9" s="214">
        <v>12</v>
      </c>
      <c r="BS9" s="214">
        <v>77</v>
      </c>
    </row>
    <row r="10" spans="1:71" x14ac:dyDescent="0.25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14">
        <v>1642</v>
      </c>
      <c r="F10" s="214">
        <v>472</v>
      </c>
      <c r="G10" s="214">
        <v>962</v>
      </c>
      <c r="H10" s="214"/>
      <c r="I10" s="214">
        <v>1254</v>
      </c>
      <c r="J10" s="214">
        <v>245</v>
      </c>
      <c r="K10" s="214">
        <v>1406</v>
      </c>
      <c r="L10" s="214"/>
      <c r="M10" s="214">
        <v>973</v>
      </c>
      <c r="N10" s="214">
        <v>115</v>
      </c>
      <c r="O10" s="214">
        <v>1950</v>
      </c>
      <c r="P10" s="214"/>
      <c r="Q10" s="214">
        <v>835</v>
      </c>
      <c r="R10" s="214">
        <v>26</v>
      </c>
      <c r="S10" s="214">
        <v>2781</v>
      </c>
      <c r="T10" s="214"/>
      <c r="U10" s="214">
        <v>1792</v>
      </c>
      <c r="V10" s="214">
        <v>188</v>
      </c>
      <c r="W10" s="214">
        <v>710</v>
      </c>
      <c r="X10" s="214"/>
      <c r="Y10" s="214">
        <v>1046</v>
      </c>
      <c r="Z10" s="214">
        <v>118</v>
      </c>
      <c r="AA10" s="214">
        <v>893</v>
      </c>
      <c r="AB10" s="214"/>
      <c r="AC10" s="214">
        <v>1118</v>
      </c>
      <c r="AD10" s="214">
        <v>628</v>
      </c>
      <c r="AE10" s="214">
        <v>718</v>
      </c>
      <c r="AF10" s="214"/>
      <c r="AG10" s="214">
        <v>1397</v>
      </c>
      <c r="AH10" s="214">
        <v>144</v>
      </c>
      <c r="AI10" s="214">
        <v>1249</v>
      </c>
      <c r="AJ10" s="214"/>
      <c r="AK10" s="214">
        <f>441+AK9</f>
        <v>2156</v>
      </c>
      <c r="AL10" s="214">
        <f>231+AL9</f>
        <v>400</v>
      </c>
      <c r="AM10" s="214">
        <v>2076</v>
      </c>
      <c r="AN10" s="214"/>
      <c r="AO10" s="222">
        <v>361</v>
      </c>
      <c r="AP10" s="214">
        <f>63+AP9</f>
        <v>92</v>
      </c>
      <c r="AQ10" s="214">
        <v>1320</v>
      </c>
      <c r="AR10" s="214"/>
      <c r="AS10" s="214">
        <v>697</v>
      </c>
      <c r="AT10" s="214">
        <v>674</v>
      </c>
      <c r="AU10" s="214">
        <f>AU9+122</f>
        <v>638</v>
      </c>
      <c r="AV10" s="214"/>
      <c r="AW10" s="214">
        <v>414</v>
      </c>
      <c r="AX10" s="214">
        <v>87</v>
      </c>
      <c r="AY10" s="214">
        <v>445</v>
      </c>
      <c r="AZ10" s="214"/>
      <c r="BA10" s="217">
        <v>449</v>
      </c>
      <c r="BB10" s="214">
        <v>1</v>
      </c>
      <c r="BC10" s="214">
        <v>526</v>
      </c>
      <c r="BD10" s="214"/>
      <c r="BE10" s="214">
        <v>1556</v>
      </c>
      <c r="BF10" s="214">
        <v>11</v>
      </c>
      <c r="BG10" s="214">
        <v>419</v>
      </c>
      <c r="BH10" s="214"/>
      <c r="BI10" s="214">
        <v>1065</v>
      </c>
      <c r="BJ10" s="214">
        <v>7</v>
      </c>
      <c r="BK10" s="214">
        <v>388</v>
      </c>
      <c r="BL10" s="214"/>
      <c r="BM10" s="214">
        <v>1079</v>
      </c>
      <c r="BN10" s="214">
        <v>27</v>
      </c>
      <c r="BO10" s="214">
        <v>407</v>
      </c>
      <c r="BP10" s="223"/>
      <c r="BQ10" s="214">
        <v>69</v>
      </c>
      <c r="BR10" s="214">
        <v>15</v>
      </c>
      <c r="BS10" s="214">
        <v>85</v>
      </c>
    </row>
    <row r="11" spans="1:71" x14ac:dyDescent="0.25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14">
        <v>1906</v>
      </c>
      <c r="F11" s="214">
        <v>897</v>
      </c>
      <c r="G11" s="214">
        <v>1560</v>
      </c>
      <c r="H11" s="214"/>
      <c r="I11" s="214">
        <v>1342</v>
      </c>
      <c r="J11" s="214">
        <v>514</v>
      </c>
      <c r="K11" s="214">
        <v>1808</v>
      </c>
      <c r="L11" s="214"/>
      <c r="M11" s="214">
        <v>1061</v>
      </c>
      <c r="N11" s="214">
        <v>182</v>
      </c>
      <c r="O11" s="214">
        <v>2471</v>
      </c>
      <c r="P11" s="214"/>
      <c r="Q11" s="214">
        <v>974</v>
      </c>
      <c r="R11" s="214">
        <v>51</v>
      </c>
      <c r="S11" s="214">
        <v>4108</v>
      </c>
      <c r="T11" s="214"/>
      <c r="U11" s="214">
        <v>1856</v>
      </c>
      <c r="V11" s="214">
        <v>335</v>
      </c>
      <c r="W11" s="214">
        <v>849</v>
      </c>
      <c r="X11" s="214"/>
      <c r="Y11" s="214">
        <v>1082</v>
      </c>
      <c r="Z11" s="214">
        <v>138</v>
      </c>
      <c r="AA11" s="214">
        <v>1118</v>
      </c>
      <c r="AB11" s="214"/>
      <c r="AC11" s="214">
        <v>1181</v>
      </c>
      <c r="AD11" s="214">
        <v>898</v>
      </c>
      <c r="AE11" s="214">
        <v>816</v>
      </c>
      <c r="AF11" s="214"/>
      <c r="AG11" s="214">
        <v>1405</v>
      </c>
      <c r="AH11" s="214">
        <v>183</v>
      </c>
      <c r="AI11" s="214">
        <v>1398</v>
      </c>
      <c r="AJ11" s="214"/>
      <c r="AK11" s="214">
        <f>103+AK10</f>
        <v>2259</v>
      </c>
      <c r="AL11" s="214">
        <f>78+AL10</f>
        <v>478</v>
      </c>
      <c r="AM11" s="214">
        <v>2288</v>
      </c>
      <c r="AN11" s="214"/>
      <c r="AO11" s="222">
        <v>411</v>
      </c>
      <c r="AP11" s="214">
        <f>43+AP10</f>
        <v>135</v>
      </c>
      <c r="AQ11" s="214">
        <v>1526</v>
      </c>
      <c r="AR11" s="214"/>
      <c r="AS11" s="214">
        <v>869</v>
      </c>
      <c r="AT11" s="214">
        <v>979</v>
      </c>
      <c r="AU11" s="214">
        <f>AU10+69</f>
        <v>707</v>
      </c>
      <c r="AV11" s="214"/>
      <c r="AW11" s="214">
        <v>479</v>
      </c>
      <c r="AX11" s="214">
        <v>246</v>
      </c>
      <c r="AY11" s="214">
        <v>776</v>
      </c>
      <c r="AZ11" s="214"/>
      <c r="BA11" s="217">
        <v>459</v>
      </c>
      <c r="BB11" s="214">
        <v>3</v>
      </c>
      <c r="BC11" s="214">
        <v>563</v>
      </c>
      <c r="BD11" s="214"/>
      <c r="BE11" s="214">
        <v>1710</v>
      </c>
      <c r="BF11" s="214">
        <v>27</v>
      </c>
      <c r="BG11" s="214">
        <v>468</v>
      </c>
      <c r="BH11" s="214"/>
      <c r="BI11" s="214">
        <v>1248</v>
      </c>
      <c r="BJ11" s="214">
        <v>35</v>
      </c>
      <c r="BK11" s="214">
        <v>456</v>
      </c>
      <c r="BL11" s="214"/>
      <c r="BM11" s="214">
        <v>1310</v>
      </c>
      <c r="BN11" s="214">
        <v>41</v>
      </c>
      <c r="BO11" s="214">
        <v>430</v>
      </c>
      <c r="BP11" s="223"/>
      <c r="BQ11" s="214">
        <v>90</v>
      </c>
      <c r="BR11" s="214">
        <v>46</v>
      </c>
      <c r="BS11" s="214">
        <v>145</v>
      </c>
    </row>
    <row r="12" spans="1:71" ht="13.8" thickBot="1" x14ac:dyDescent="0.3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14">
        <v>2060</v>
      </c>
      <c r="F12" s="214">
        <v>948</v>
      </c>
      <c r="G12" s="214">
        <v>1826</v>
      </c>
      <c r="H12" s="214"/>
      <c r="I12" s="214">
        <v>1383</v>
      </c>
      <c r="J12" s="214">
        <v>554</v>
      </c>
      <c r="K12" s="214">
        <v>1989</v>
      </c>
      <c r="L12" s="214"/>
      <c r="M12" s="214">
        <v>1111</v>
      </c>
      <c r="N12" s="214">
        <v>220</v>
      </c>
      <c r="O12" s="214">
        <v>3271</v>
      </c>
      <c r="P12" s="214"/>
      <c r="Q12" s="214">
        <v>1021</v>
      </c>
      <c r="R12" s="214">
        <v>84</v>
      </c>
      <c r="S12" s="214">
        <v>4742</v>
      </c>
      <c r="T12" s="214"/>
      <c r="U12" s="214">
        <v>1967</v>
      </c>
      <c r="V12" s="214">
        <v>401</v>
      </c>
      <c r="W12" s="214">
        <v>884</v>
      </c>
      <c r="X12" s="214"/>
      <c r="Y12" s="214">
        <v>1109</v>
      </c>
      <c r="Z12" s="214">
        <v>154</v>
      </c>
      <c r="AA12" s="214">
        <v>1373</v>
      </c>
      <c r="AB12" s="214"/>
      <c r="AC12" s="89">
        <v>1292</v>
      </c>
      <c r="AD12" s="89">
        <v>909</v>
      </c>
      <c r="AE12" s="89">
        <v>822</v>
      </c>
      <c r="AF12" s="214"/>
      <c r="AG12" s="214">
        <v>1484</v>
      </c>
      <c r="AH12" s="214">
        <v>280</v>
      </c>
      <c r="AI12" s="214">
        <v>1516</v>
      </c>
      <c r="AJ12" s="214"/>
      <c r="AK12" s="214">
        <f>92+AK11</f>
        <v>2351</v>
      </c>
      <c r="AL12" s="214">
        <f>75+AL11</f>
        <v>553</v>
      </c>
      <c r="AM12" s="214">
        <v>2891</v>
      </c>
      <c r="AN12" s="214"/>
      <c r="AO12" s="222">
        <v>463</v>
      </c>
      <c r="AP12" s="214">
        <f>34+AP11</f>
        <v>169</v>
      </c>
      <c r="AQ12" s="214">
        <v>1589</v>
      </c>
      <c r="AR12" s="214"/>
      <c r="AS12" s="214">
        <v>959</v>
      </c>
      <c r="AT12" s="214">
        <v>1074</v>
      </c>
      <c r="AU12" s="214">
        <f>AU11+252</f>
        <v>959</v>
      </c>
      <c r="AV12" s="214"/>
      <c r="AW12" s="214">
        <v>527</v>
      </c>
      <c r="AX12" s="214">
        <v>391</v>
      </c>
      <c r="AY12" s="214">
        <v>1031</v>
      </c>
      <c r="AZ12" s="214"/>
      <c r="BA12" s="89">
        <v>459</v>
      </c>
      <c r="BB12" s="89">
        <v>3</v>
      </c>
      <c r="BC12" s="89">
        <v>563</v>
      </c>
      <c r="BD12" s="214"/>
      <c r="BE12" s="214">
        <v>1846</v>
      </c>
      <c r="BF12" s="214">
        <v>37</v>
      </c>
      <c r="BG12" s="214">
        <v>582</v>
      </c>
      <c r="BH12" s="214"/>
      <c r="BI12" s="214">
        <v>1387</v>
      </c>
      <c r="BJ12" s="214">
        <v>46</v>
      </c>
      <c r="BK12" s="214">
        <v>461</v>
      </c>
      <c r="BL12" s="214"/>
      <c r="BM12" s="214">
        <v>1473</v>
      </c>
      <c r="BN12" s="214">
        <v>73</v>
      </c>
      <c r="BO12" s="214">
        <v>672</v>
      </c>
      <c r="BP12" s="223"/>
      <c r="BQ12" s="214">
        <v>107</v>
      </c>
      <c r="BR12" s="214">
        <v>67</v>
      </c>
      <c r="BS12" s="214">
        <v>198</v>
      </c>
    </row>
    <row r="13" spans="1:71" x14ac:dyDescent="0.25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14">
        <v>2062</v>
      </c>
      <c r="F13" s="214">
        <v>978</v>
      </c>
      <c r="G13" s="214">
        <v>1988</v>
      </c>
      <c r="H13" s="214"/>
      <c r="I13" s="214">
        <v>1403</v>
      </c>
      <c r="J13" s="214">
        <v>687</v>
      </c>
      <c r="K13" s="214">
        <v>2094</v>
      </c>
      <c r="L13" s="214"/>
      <c r="M13" s="214">
        <v>1133</v>
      </c>
      <c r="N13" s="214">
        <v>230</v>
      </c>
      <c r="O13" s="214">
        <v>3296</v>
      </c>
      <c r="P13" s="214"/>
      <c r="Q13" s="214">
        <v>1022</v>
      </c>
      <c r="R13" s="214">
        <v>84</v>
      </c>
      <c r="S13" s="214">
        <v>4897</v>
      </c>
      <c r="T13" s="214"/>
      <c r="U13" s="214">
        <v>2024</v>
      </c>
      <c r="V13" s="214">
        <v>439</v>
      </c>
      <c r="W13" s="214">
        <v>896</v>
      </c>
      <c r="X13" s="214"/>
      <c r="Y13" s="214">
        <v>1126</v>
      </c>
      <c r="Z13" s="214">
        <v>170</v>
      </c>
      <c r="AA13" s="214">
        <v>1396</v>
      </c>
      <c r="AB13" s="214"/>
      <c r="AC13" s="110"/>
      <c r="AD13" s="110"/>
      <c r="AE13" s="110"/>
      <c r="AF13" s="110"/>
      <c r="AG13" s="214">
        <v>1534</v>
      </c>
      <c r="AH13" s="214">
        <v>325</v>
      </c>
      <c r="AI13" s="214">
        <v>1530</v>
      </c>
      <c r="AJ13" s="214"/>
      <c r="AK13" s="214">
        <f>109+AK12</f>
        <v>2460</v>
      </c>
      <c r="AL13" s="214">
        <f>8+AL12</f>
        <v>561</v>
      </c>
      <c r="AM13" s="214">
        <v>3194</v>
      </c>
      <c r="AN13" s="214"/>
      <c r="AO13" s="222">
        <v>512</v>
      </c>
      <c r="AP13" s="214">
        <f>123+AP12</f>
        <v>292</v>
      </c>
      <c r="AQ13" s="214">
        <v>1659</v>
      </c>
      <c r="AR13" s="214"/>
      <c r="AS13" s="214">
        <v>972</v>
      </c>
      <c r="AT13" s="214">
        <v>1092</v>
      </c>
      <c r="AU13" s="214">
        <f>AU12+129</f>
        <v>1088</v>
      </c>
      <c r="AV13" s="214"/>
      <c r="AW13" s="214">
        <v>615</v>
      </c>
      <c r="AX13" s="214">
        <v>424</v>
      </c>
      <c r="AY13" s="214">
        <v>1067</v>
      </c>
      <c r="AZ13" s="214"/>
      <c r="BA13" s="217"/>
      <c r="BB13" s="214"/>
      <c r="BC13" s="214"/>
      <c r="BD13" s="214"/>
      <c r="BE13" s="214">
        <v>1879</v>
      </c>
      <c r="BF13" s="214">
        <v>40</v>
      </c>
      <c r="BG13" s="214">
        <v>734</v>
      </c>
      <c r="BH13" s="214"/>
      <c r="BI13" s="214">
        <v>1490</v>
      </c>
      <c r="BJ13" s="214">
        <v>55</v>
      </c>
      <c r="BK13" s="214">
        <v>467</v>
      </c>
      <c r="BL13" s="214"/>
      <c r="BM13" s="214">
        <v>1501</v>
      </c>
      <c r="BN13" s="214">
        <v>93</v>
      </c>
      <c r="BO13" s="214">
        <v>691</v>
      </c>
      <c r="BP13" s="223"/>
      <c r="BQ13" s="214">
        <v>119</v>
      </c>
      <c r="BR13" s="214">
        <v>69</v>
      </c>
      <c r="BS13" s="214">
        <v>199</v>
      </c>
    </row>
    <row r="14" spans="1:71" ht="13.8" thickBot="1" x14ac:dyDescent="0.3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14">
        <v>2079</v>
      </c>
      <c r="F14" s="214">
        <v>989</v>
      </c>
      <c r="G14" s="214">
        <v>2006</v>
      </c>
      <c r="H14" s="214"/>
      <c r="I14" s="89">
        <v>1426</v>
      </c>
      <c r="J14" s="89">
        <v>772</v>
      </c>
      <c r="K14" s="89">
        <v>2219</v>
      </c>
      <c r="L14" s="214"/>
      <c r="M14" s="214">
        <v>1173</v>
      </c>
      <c r="N14" s="214">
        <v>235</v>
      </c>
      <c r="O14" s="214">
        <v>3455</v>
      </c>
      <c r="P14" s="214"/>
      <c r="Q14" s="214">
        <v>1031</v>
      </c>
      <c r="R14" s="214">
        <v>88</v>
      </c>
      <c r="S14" s="214">
        <v>5018</v>
      </c>
      <c r="T14" s="214"/>
      <c r="U14" s="214">
        <v>2122</v>
      </c>
      <c r="V14" s="214">
        <v>447</v>
      </c>
      <c r="W14" s="214">
        <v>901</v>
      </c>
      <c r="X14" s="214"/>
      <c r="Y14" s="214">
        <v>1144</v>
      </c>
      <c r="Z14" s="214">
        <v>178</v>
      </c>
      <c r="AA14" s="214">
        <v>1405</v>
      </c>
      <c r="AB14" s="214"/>
      <c r="AC14" s="214"/>
      <c r="AD14" s="214"/>
      <c r="AE14" s="214"/>
      <c r="AF14" s="214"/>
      <c r="AG14" s="214">
        <v>1579</v>
      </c>
      <c r="AH14" s="214">
        <v>348</v>
      </c>
      <c r="AI14" s="214">
        <v>1557</v>
      </c>
      <c r="AJ14" s="214"/>
      <c r="AK14" s="214">
        <f>93+AK13</f>
        <v>2553</v>
      </c>
      <c r="AL14" s="214">
        <f>19+AL13</f>
        <v>580</v>
      </c>
      <c r="AM14" s="214">
        <v>3558</v>
      </c>
      <c r="AN14" s="214"/>
      <c r="AO14" s="222">
        <v>546</v>
      </c>
      <c r="AP14" s="214">
        <f>73+AP13</f>
        <v>365</v>
      </c>
      <c r="AQ14" s="214">
        <v>1692</v>
      </c>
      <c r="AR14" s="214"/>
      <c r="AS14" s="214">
        <v>978</v>
      </c>
      <c r="AT14" s="214">
        <v>1094</v>
      </c>
      <c r="AU14" s="214">
        <f>AU13+6</f>
        <v>1094</v>
      </c>
      <c r="AV14" s="214"/>
      <c r="AW14" s="214">
        <v>698</v>
      </c>
      <c r="AX14" s="214">
        <v>454</v>
      </c>
      <c r="AY14" s="214">
        <v>1185</v>
      </c>
      <c r="AZ14" s="214"/>
      <c r="BA14" s="217"/>
      <c r="BB14" s="214"/>
      <c r="BC14" s="214"/>
      <c r="BD14" s="214"/>
      <c r="BE14" s="214">
        <v>1891</v>
      </c>
      <c r="BF14" s="214">
        <v>63</v>
      </c>
      <c r="BG14" s="214">
        <v>739</v>
      </c>
      <c r="BH14" s="214"/>
      <c r="BI14" s="214">
        <v>1527</v>
      </c>
      <c r="BJ14" s="214">
        <v>66</v>
      </c>
      <c r="BK14" s="214">
        <v>525</v>
      </c>
      <c r="BL14" s="214"/>
      <c r="BM14" s="214">
        <v>1502</v>
      </c>
      <c r="BN14" s="214">
        <v>94</v>
      </c>
      <c r="BO14" s="214">
        <v>693</v>
      </c>
      <c r="BP14" s="223"/>
      <c r="BQ14" s="214">
        <v>130</v>
      </c>
      <c r="BR14" s="214">
        <v>69</v>
      </c>
      <c r="BS14" s="214">
        <v>199</v>
      </c>
    </row>
    <row r="15" spans="1:71" ht="13.8" thickBot="1" x14ac:dyDescent="0.3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14">
        <v>2118</v>
      </c>
      <c r="F15" s="214">
        <v>998</v>
      </c>
      <c r="G15" s="214">
        <v>2025</v>
      </c>
      <c r="H15" s="214"/>
      <c r="I15" s="214"/>
      <c r="J15" s="214"/>
      <c r="K15" s="214"/>
      <c r="L15" s="214"/>
      <c r="M15" s="217">
        <v>1181</v>
      </c>
      <c r="N15" s="217">
        <v>247</v>
      </c>
      <c r="O15" s="217">
        <v>3880</v>
      </c>
      <c r="P15" s="214"/>
      <c r="Q15" s="217">
        <v>1039</v>
      </c>
      <c r="R15" s="217">
        <v>88</v>
      </c>
      <c r="S15" s="217">
        <v>5026</v>
      </c>
      <c r="T15" s="214"/>
      <c r="U15" s="214">
        <v>2122</v>
      </c>
      <c r="V15" s="214">
        <v>447</v>
      </c>
      <c r="W15" s="214">
        <v>901</v>
      </c>
      <c r="X15" s="214"/>
      <c r="Y15" s="214">
        <v>1180</v>
      </c>
      <c r="Z15" s="214">
        <v>197</v>
      </c>
      <c r="AA15" s="214">
        <v>1657</v>
      </c>
      <c r="AB15" s="214"/>
      <c r="AC15" s="214"/>
      <c r="AD15" s="214"/>
      <c r="AE15" s="214"/>
      <c r="AF15" s="214"/>
      <c r="AG15" s="214">
        <v>1600</v>
      </c>
      <c r="AH15" s="214">
        <v>359</v>
      </c>
      <c r="AI15" s="214">
        <v>1613</v>
      </c>
      <c r="AJ15" s="214"/>
      <c r="AK15" s="214">
        <f>28+AK14</f>
        <v>2581</v>
      </c>
      <c r="AL15" s="214">
        <v>587</v>
      </c>
      <c r="AM15" s="214">
        <v>3610</v>
      </c>
      <c r="AN15" s="214"/>
      <c r="AO15" s="222">
        <v>607</v>
      </c>
      <c r="AP15" s="214">
        <f>29+AP14</f>
        <v>394</v>
      </c>
      <c r="AQ15" s="214">
        <v>1721</v>
      </c>
      <c r="AR15" s="214"/>
      <c r="AS15" s="214">
        <v>1018</v>
      </c>
      <c r="AT15" s="214">
        <v>1095</v>
      </c>
      <c r="AU15" s="214">
        <f>AU14+9</f>
        <v>1103</v>
      </c>
      <c r="AV15" s="214"/>
      <c r="AW15" s="214">
        <v>744</v>
      </c>
      <c r="AX15" s="214">
        <v>471</v>
      </c>
      <c r="AY15" s="214">
        <v>1214</v>
      </c>
      <c r="AZ15" s="214"/>
      <c r="BA15" s="217"/>
      <c r="BB15" s="214"/>
      <c r="BC15" s="214"/>
      <c r="BD15" s="214"/>
      <c r="BE15" s="89">
        <v>1895</v>
      </c>
      <c r="BF15" s="89">
        <v>66</v>
      </c>
      <c r="BG15" s="89">
        <v>746</v>
      </c>
      <c r="BH15" s="217"/>
      <c r="BI15" s="217">
        <v>1561</v>
      </c>
      <c r="BJ15" s="217">
        <v>70</v>
      </c>
      <c r="BK15" s="217">
        <v>530</v>
      </c>
      <c r="BL15" s="217"/>
      <c r="BM15" s="214">
        <v>1527</v>
      </c>
      <c r="BN15" s="214">
        <v>128</v>
      </c>
      <c r="BO15" s="214">
        <v>696</v>
      </c>
      <c r="BP15" s="223"/>
      <c r="BQ15" s="214">
        <v>139</v>
      </c>
      <c r="BR15" s="214">
        <v>70</v>
      </c>
      <c r="BS15" s="214">
        <v>200</v>
      </c>
    </row>
    <row r="16" spans="1:71" ht="13.8" thickBot="1" x14ac:dyDescent="0.3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17">
        <v>2139</v>
      </c>
      <c r="F16" s="217">
        <v>1010</v>
      </c>
      <c r="G16" s="217">
        <v>2034</v>
      </c>
      <c r="H16" s="214"/>
      <c r="I16" s="214"/>
      <c r="J16" s="214"/>
      <c r="K16" s="214"/>
      <c r="L16" s="214"/>
      <c r="M16" s="89">
        <v>1181</v>
      </c>
      <c r="N16" s="89">
        <v>249</v>
      </c>
      <c r="O16" s="89">
        <v>3884</v>
      </c>
      <c r="P16" s="214"/>
      <c r="Q16" s="89">
        <v>1056</v>
      </c>
      <c r="R16" s="89">
        <v>97</v>
      </c>
      <c r="S16" s="89">
        <v>5189</v>
      </c>
      <c r="T16" s="214"/>
      <c r="U16" s="214">
        <v>2128</v>
      </c>
      <c r="V16" s="214">
        <v>447</v>
      </c>
      <c r="W16" s="214">
        <v>906</v>
      </c>
      <c r="X16" s="214"/>
      <c r="Y16" s="214">
        <v>1191</v>
      </c>
      <c r="Z16" s="214">
        <v>201</v>
      </c>
      <c r="AA16" s="214">
        <v>1670</v>
      </c>
      <c r="AB16" s="214"/>
      <c r="AC16" s="214"/>
      <c r="AD16" s="214"/>
      <c r="AE16" s="214"/>
      <c r="AF16" s="214"/>
      <c r="AG16" s="214">
        <v>1675</v>
      </c>
      <c r="AH16" s="214">
        <v>362</v>
      </c>
      <c r="AI16" s="214">
        <v>1654</v>
      </c>
      <c r="AJ16" s="214"/>
      <c r="AK16" s="89">
        <f>28+AK15</f>
        <v>2609</v>
      </c>
      <c r="AL16" s="89">
        <v>589</v>
      </c>
      <c r="AM16" s="89">
        <v>3616</v>
      </c>
      <c r="AN16" s="110"/>
      <c r="AO16" s="222">
        <v>710</v>
      </c>
      <c r="AP16" s="214">
        <f>56+AP15</f>
        <v>450</v>
      </c>
      <c r="AQ16" s="214">
        <v>1752</v>
      </c>
      <c r="AR16" s="214"/>
      <c r="AS16" s="214">
        <v>1072</v>
      </c>
      <c r="AT16" s="214">
        <v>1095</v>
      </c>
      <c r="AU16" s="214">
        <f>AU15+8</f>
        <v>1111</v>
      </c>
      <c r="AV16" s="220"/>
      <c r="AW16" s="214">
        <v>831</v>
      </c>
      <c r="AX16" s="214">
        <v>483</v>
      </c>
      <c r="AY16" s="214">
        <v>1248</v>
      </c>
      <c r="AZ16" s="214"/>
      <c r="BA16" s="221" t="s">
        <v>72</v>
      </c>
      <c r="BB16" s="214"/>
      <c r="BC16" s="214"/>
      <c r="BD16" s="214"/>
      <c r="BE16" s="220"/>
      <c r="BF16" s="220"/>
      <c r="BG16" s="220"/>
      <c r="BH16" s="220"/>
      <c r="BI16" s="217">
        <v>1570</v>
      </c>
      <c r="BJ16" s="217">
        <v>71</v>
      </c>
      <c r="BK16" s="217">
        <v>532</v>
      </c>
      <c r="BL16" s="217"/>
      <c r="BM16" s="214">
        <v>1579</v>
      </c>
      <c r="BN16" s="214">
        <v>155</v>
      </c>
      <c r="BO16" s="214">
        <v>712</v>
      </c>
      <c r="BP16" s="223"/>
      <c r="BQ16" s="89">
        <v>144</v>
      </c>
      <c r="BR16" s="89">
        <v>71</v>
      </c>
      <c r="BS16" s="89">
        <v>225</v>
      </c>
    </row>
    <row r="17" spans="1:71" ht="13.8" thickBot="1" x14ac:dyDescent="0.3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89">
        <v>2143</v>
      </c>
      <c r="V17" s="89">
        <v>448</v>
      </c>
      <c r="W17" s="89">
        <v>919</v>
      </c>
      <c r="X17" s="214"/>
      <c r="Y17" s="89">
        <v>1191</v>
      </c>
      <c r="Z17" s="89">
        <v>202</v>
      </c>
      <c r="AA17" s="89">
        <v>1677</v>
      </c>
      <c r="AB17" s="214"/>
      <c r="AC17" s="214"/>
      <c r="AD17" s="214"/>
      <c r="AE17" s="214"/>
      <c r="AF17" s="214"/>
      <c r="AG17" s="89">
        <v>1677</v>
      </c>
      <c r="AH17" s="89">
        <v>362</v>
      </c>
      <c r="AI17" s="89">
        <v>1654</v>
      </c>
      <c r="AJ17" s="214"/>
      <c r="AK17" s="217"/>
      <c r="AL17" s="217"/>
      <c r="AM17" s="217"/>
      <c r="AN17" s="214"/>
      <c r="AO17" s="222">
        <v>805</v>
      </c>
      <c r="AP17" s="214">
        <v>559</v>
      </c>
      <c r="AQ17" s="214">
        <v>2120</v>
      </c>
      <c r="AR17" s="214"/>
      <c r="AS17" s="219">
        <v>1095</v>
      </c>
      <c r="AT17" s="219">
        <v>1095</v>
      </c>
      <c r="AU17" s="219">
        <f>AU16+1</f>
        <v>1112</v>
      </c>
      <c r="AV17" s="214"/>
      <c r="AW17" s="214">
        <v>873</v>
      </c>
      <c r="AX17" s="214">
        <v>492</v>
      </c>
      <c r="AY17" s="214">
        <v>1280</v>
      </c>
      <c r="AZ17" s="214"/>
      <c r="BA17" s="221" t="s">
        <v>73</v>
      </c>
      <c r="BB17" s="214"/>
      <c r="BC17" s="214"/>
      <c r="BD17" s="214"/>
      <c r="BE17" s="217"/>
      <c r="BF17" s="217"/>
      <c r="BG17" s="217"/>
      <c r="BH17" s="217"/>
      <c r="BI17" s="89">
        <v>1574</v>
      </c>
      <c r="BJ17" s="89">
        <v>71</v>
      </c>
      <c r="BK17" s="89">
        <v>532</v>
      </c>
      <c r="BL17" s="220"/>
      <c r="BM17" s="214">
        <v>1588</v>
      </c>
      <c r="BN17" s="214">
        <v>156</v>
      </c>
      <c r="BO17" s="214">
        <v>715</v>
      </c>
      <c r="BP17" s="223"/>
      <c r="BQ17" s="214"/>
      <c r="BR17" s="214"/>
      <c r="BS17" s="214"/>
    </row>
    <row r="18" spans="1:71" ht="13.8" thickBot="1" x14ac:dyDescent="0.3">
      <c r="A18" s="209">
        <f t="shared" si="0"/>
        <v>48</v>
      </c>
      <c r="B18" s="49">
        <f t="shared" si="1"/>
        <v>40508</v>
      </c>
      <c r="C18" s="209" t="s">
        <v>70</v>
      </c>
      <c r="D18" s="49">
        <f t="shared" si="2"/>
        <v>40514</v>
      </c>
      <c r="E18" s="214"/>
      <c r="F18" s="214"/>
      <c r="G18" s="214" t="s">
        <v>42</v>
      </c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110"/>
      <c r="AH18" s="110"/>
      <c r="AI18" s="110"/>
      <c r="AJ18" s="214"/>
      <c r="AK18" s="217"/>
      <c r="AL18" s="217"/>
      <c r="AM18" s="217"/>
      <c r="AN18" s="214"/>
      <c r="AO18" s="222">
        <v>816</v>
      </c>
      <c r="AP18" s="217">
        <v>564</v>
      </c>
      <c r="AQ18" s="214">
        <v>2132</v>
      </c>
      <c r="AR18" s="214"/>
      <c r="AS18" s="214"/>
      <c r="AT18" s="214"/>
      <c r="AU18" s="214"/>
      <c r="AV18" s="214"/>
      <c r="AW18" s="219">
        <v>875</v>
      </c>
      <c r="AX18" s="219">
        <v>494</v>
      </c>
      <c r="AY18" s="219">
        <v>1280</v>
      </c>
      <c r="AZ18" s="220"/>
      <c r="BA18" s="221" t="s">
        <v>74</v>
      </c>
      <c r="BB18" s="217"/>
      <c r="BC18" s="214"/>
      <c r="BD18" s="214"/>
      <c r="BE18" s="217"/>
      <c r="BF18" s="217"/>
      <c r="BG18" s="217"/>
      <c r="BH18" s="217"/>
      <c r="BI18" s="220"/>
      <c r="BJ18" s="220"/>
      <c r="BK18" s="220"/>
      <c r="BL18" s="220"/>
      <c r="BM18" s="89">
        <v>1589</v>
      </c>
      <c r="BN18" s="89">
        <v>156</v>
      </c>
      <c r="BO18" s="89">
        <v>718</v>
      </c>
      <c r="BP18" s="223"/>
      <c r="BQ18" s="220"/>
      <c r="BR18" s="220"/>
      <c r="BS18" s="220"/>
    </row>
    <row r="19" spans="1:71" ht="13.8" thickBot="1" x14ac:dyDescent="0.3">
      <c r="A19" s="209">
        <f t="shared" si="0"/>
        <v>49</v>
      </c>
      <c r="B19" s="49">
        <f t="shared" si="1"/>
        <v>40515</v>
      </c>
      <c r="C19" s="209" t="s">
        <v>70</v>
      </c>
      <c r="D19" s="49">
        <f t="shared" si="2"/>
        <v>40521</v>
      </c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110"/>
      <c r="AH19" s="110"/>
      <c r="AI19" s="110"/>
      <c r="AJ19" s="214"/>
      <c r="AK19" s="214"/>
      <c r="AL19" s="214"/>
      <c r="AM19" s="214"/>
      <c r="AN19" s="214"/>
      <c r="AO19" s="89">
        <v>822</v>
      </c>
      <c r="AP19" s="89">
        <v>571</v>
      </c>
      <c r="AQ19" s="89">
        <v>2145</v>
      </c>
      <c r="AR19" s="214"/>
      <c r="AS19" s="214"/>
      <c r="AT19" s="214"/>
      <c r="AU19" s="214"/>
      <c r="AV19" s="214"/>
      <c r="AW19" s="214"/>
      <c r="AX19" s="214"/>
      <c r="AY19" s="214"/>
      <c r="AZ19" s="214"/>
      <c r="BA19" s="217"/>
      <c r="BB19" s="217"/>
      <c r="BC19" s="217"/>
      <c r="BD19" s="214"/>
      <c r="BE19" s="217"/>
      <c r="BF19" s="217"/>
      <c r="BG19" s="217"/>
      <c r="BH19" s="217"/>
      <c r="BI19" s="217"/>
      <c r="BJ19" s="217"/>
      <c r="BK19" s="217"/>
      <c r="BL19" s="217"/>
      <c r="BM19" s="214"/>
      <c r="BN19" s="214"/>
      <c r="BO19" s="214"/>
      <c r="BQ19" s="22"/>
      <c r="BR19" s="22"/>
      <c r="BS19" s="22"/>
    </row>
    <row r="20" spans="1:71" x14ac:dyDescent="0.25">
      <c r="A20" s="209">
        <f t="shared" si="0"/>
        <v>50</v>
      </c>
      <c r="B20" s="49">
        <f t="shared" si="1"/>
        <v>40522</v>
      </c>
      <c r="C20" s="209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71" x14ac:dyDescent="0.25">
      <c r="AO21" s="21"/>
      <c r="AP21" s="51"/>
      <c r="AQ21" s="51"/>
      <c r="BA21" s="67" t="s">
        <v>71</v>
      </c>
      <c r="BB21" s="66"/>
      <c r="BC21" s="66"/>
    </row>
    <row r="22" spans="1:71" x14ac:dyDescent="0.25">
      <c r="AO22" s="51"/>
      <c r="AP22" s="51"/>
      <c r="AQ22" s="51"/>
      <c r="BA22" s="66"/>
      <c r="BB22" s="66"/>
      <c r="BC22" s="66"/>
    </row>
    <row r="23" spans="1:71" x14ac:dyDescent="0.25">
      <c r="A23" s="9" t="s">
        <v>47</v>
      </c>
      <c r="AO23" s="51"/>
      <c r="AP23" s="22"/>
      <c r="AQ23" s="21"/>
      <c r="BA23" s="66"/>
      <c r="BB23" s="22"/>
      <c r="BC23" s="63"/>
    </row>
    <row r="25" spans="1:71" x14ac:dyDescent="0.25">
      <c r="A25" s="76"/>
    </row>
    <row r="26" spans="1:71" x14ac:dyDescent="0.25">
      <c r="A26" s="77"/>
      <c r="B26" s="45"/>
      <c r="C26" s="45"/>
      <c r="D26" s="45"/>
    </row>
    <row r="27" spans="1:71" x14ac:dyDescent="0.25">
      <c r="A27" s="76"/>
      <c r="B27" s="49"/>
      <c r="C27" s="76"/>
      <c r="D27" s="49"/>
      <c r="F27" s="39"/>
      <c r="G27" s="39"/>
    </row>
    <row r="28" spans="1:71" x14ac:dyDescent="0.25">
      <c r="A28" s="76"/>
      <c r="B28" s="49"/>
      <c r="C28" s="76"/>
      <c r="D28" s="49"/>
      <c r="F28" s="39"/>
      <c r="G28" s="39"/>
    </row>
    <row r="29" spans="1:71" x14ac:dyDescent="0.25">
      <c r="A29" s="76"/>
      <c r="B29" s="49"/>
      <c r="C29" s="76"/>
      <c r="D29" s="49"/>
      <c r="F29" s="39"/>
      <c r="G29" s="39"/>
    </row>
    <row r="30" spans="1:71" x14ac:dyDescent="0.25">
      <c r="A30" s="76"/>
      <c r="B30" s="49"/>
      <c r="C30" s="76"/>
      <c r="D30" s="49"/>
      <c r="E30" s="39"/>
      <c r="F30" s="39"/>
      <c r="G30" s="39"/>
    </row>
    <row r="31" spans="1:71" x14ac:dyDescent="0.25">
      <c r="A31" s="76"/>
      <c r="B31" s="49"/>
      <c r="C31" s="76"/>
      <c r="D31" s="49"/>
      <c r="E31" s="39"/>
      <c r="F31" s="39"/>
      <c r="G31" s="39"/>
    </row>
    <row r="32" spans="1:71" x14ac:dyDescent="0.25">
      <c r="A32" s="76"/>
      <c r="B32" s="49"/>
      <c r="C32" s="76"/>
      <c r="D32" s="49"/>
      <c r="E32" s="39"/>
      <c r="F32" s="39"/>
      <c r="G32" s="39"/>
    </row>
    <row r="33" spans="1:7" x14ac:dyDescent="0.25">
      <c r="A33" s="76"/>
      <c r="B33" s="49"/>
      <c r="C33" s="76"/>
      <c r="D33" s="49"/>
      <c r="E33" s="39"/>
      <c r="F33" s="39"/>
      <c r="G33" s="39"/>
    </row>
    <row r="34" spans="1:7" x14ac:dyDescent="0.25">
      <c r="A34" s="76"/>
      <c r="B34" s="49"/>
      <c r="C34" s="76"/>
      <c r="D34" s="49"/>
      <c r="E34" s="39"/>
      <c r="F34" s="39"/>
      <c r="G34" s="39"/>
    </row>
    <row r="35" spans="1:7" x14ac:dyDescent="0.25">
      <c r="A35" s="76"/>
      <c r="B35" s="49"/>
      <c r="C35" s="76"/>
      <c r="D35" s="49"/>
      <c r="E35" s="39"/>
      <c r="F35" s="39"/>
      <c r="G35" s="39"/>
    </row>
    <row r="36" spans="1:7" x14ac:dyDescent="0.25">
      <c r="A36" s="76"/>
      <c r="B36" s="49"/>
      <c r="C36" s="76"/>
      <c r="D36" s="49"/>
      <c r="E36" s="39"/>
      <c r="F36" s="39"/>
      <c r="G36" s="39"/>
    </row>
    <row r="37" spans="1:7" x14ac:dyDescent="0.25">
      <c r="A37" s="76"/>
      <c r="B37" s="49"/>
      <c r="C37" s="76"/>
      <c r="D37" s="49"/>
      <c r="E37" s="39"/>
      <c r="F37" s="14"/>
      <c r="G37" s="39"/>
    </row>
    <row r="38" spans="1:7" x14ac:dyDescent="0.25">
      <c r="A38" s="76"/>
      <c r="B38" s="49"/>
      <c r="C38" s="76"/>
      <c r="D38" s="49"/>
      <c r="E38" s="39"/>
      <c r="G38" s="39"/>
    </row>
    <row r="39" spans="1:7" x14ac:dyDescent="0.25">
      <c r="A39" s="76"/>
      <c r="B39" s="49"/>
      <c r="C39" s="76"/>
      <c r="D39" s="49"/>
      <c r="E39" s="39"/>
      <c r="G39" s="14"/>
    </row>
    <row r="40" spans="1:7" x14ac:dyDescent="0.25">
      <c r="A40" s="76"/>
      <c r="B40" s="49"/>
      <c r="C40" s="76"/>
      <c r="D40" s="49"/>
      <c r="E40" s="14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Weir-2021</vt:lpstr>
      <vt:lpstr>WC Weir-2021</vt:lpstr>
      <vt:lpstr>TRH-2021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'TRH-2021'!Print_Area</vt:lpstr>
      <vt:lpstr>'WC Weir-2021'!Print_Area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2021-09-24T22:36:41Z</cp:lastPrinted>
  <dcterms:created xsi:type="dcterms:W3CDTF">2004-07-26T22:42:45Z</dcterms:created>
  <dcterms:modified xsi:type="dcterms:W3CDTF">2021-10-08T23:18:53Z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